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6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ckpit" sheetId="1" state="visible" r:id="rId3"/>
    <sheet name="Analyst Mode" sheetId="2" state="visible" r:id="rId4"/>
    <sheet name="Scenarios &amp; Sensitivity" sheetId="3" state="visible" r:id="rId5"/>
    <sheet name="Executive Summary" sheetId="4" state="visible" r:id="rId6"/>
    <sheet name="Methodology &amp; Sources" sheetId="5" state="visible" r:id="rId7"/>
    <sheet name="About FastEstimate" sheetId="6" state="visible" r:id="rId8"/>
  </sheets>
  <definedNames>
    <definedName function="false" hidden="false" localSheetId="5" name="_xlnm.Print_Area" vbProcedure="false">'About FastEstimate'!$A$1:$D$34</definedName>
    <definedName function="false" hidden="false" localSheetId="1" name="_xlnm.Print_Area" vbProcedure="false">'Analyst Mode'!$A$1:$E$56</definedName>
    <definedName function="false" hidden="false" localSheetId="0" name="_xlnm.Print_Area" vbProcedure="false">Cockpit!$A$1:$J$40</definedName>
    <definedName function="false" hidden="false" localSheetId="3" name="_xlnm.Print_Area" vbProcedure="false">'Executive Summary'!$A$1:$L$41</definedName>
    <definedName function="false" hidden="false" localSheetId="4" name="_xlnm.Print_Area" vbProcedure="false">'Methodology &amp; Sources'!$A$1:$G$45</definedName>
    <definedName function="false" hidden="false" localSheetId="2" name="_xlnm.Print_Area" vbProcedure="false">'Scenarios &amp; Sensitivity'!$A$1:$L$47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<sst xmlns="http://schemas.openxmlformats.org/spreadsheetml/2006/main" count="410" uniqueCount="364">
  <si>
    <t xml:space="preserve">FastEstimate ROI — Carrier Cockpit</t>
  </si>
  <si>
    <t xml:space="preserve">Live scenario modeling for Seek Now Strategic Accounts</t>
  </si>
  <si>
    <t xml:space="preserve">Carrier:</t>
  </si>
  <si>
    <t xml:space="preserve">Scenario:</t>
  </si>
  <si>
    <t xml:space="preserve">Date:</t>
  </si>
  <si>
    <t xml:space="preserve">Adjust these three to match your carrier's reality</t>
  </si>
  <si>
    <t xml:space="preserve">1. Annual Seek Now inspection spend</t>
  </si>
  <si>
    <t xml:space="preserve">Carrier's annual $ volume with Seek Now. Edit this first. Default $1M = mid-market carrier.</t>
  </si>
  <si>
    <t xml:space="preserve">2. Avg wind/hail claim severity</t>
  </si>
  <si>
    <t xml:space="preserve">Default $17,260 = Verisk Q3 2025 low end. Edit if your carrier's book skews higher/lower.</t>
  </si>
  <si>
    <t xml:space="preserve">3. FastEstimate attach rate</t>
  </si>
  <si>
    <t xml:space="preserve">25% = Pilot · 50% = Moderate · 75% = Full deployment. Edit to match comfort level.</t>
  </si>
  <si>
    <t xml:space="preserve">Year 1 Impact</t>
  </si>
  <si>
    <t xml:space="preserve">NET $ / ESTIMATE</t>
  </si>
  <si>
    <t xml:space="preserve">YEAR 1 NET SAVINGS</t>
  </si>
  <si>
    <t xml:space="preserve">ROI</t>
  </si>
  <si>
    <t xml:space="preserve">CYCLE DAYS SAVED</t>
  </si>
  <si>
    <t xml:space="preserve">FTE</t>
  </si>
  <si>
    <t xml:space="preserve">saved from claim #1</t>
  </si>
  <si>
    <t xml:space="preserve">total benefit minus cost</t>
  </si>
  <si>
    <t xml:space="preserve">benefit ÷ cost</t>
  </si>
  <si>
    <t xml:space="preserve">compresses 44-day baseline</t>
  </si>
  <si>
    <t xml:space="preserve">capacity unlocked</t>
  </si>
  <si>
    <t xml:space="preserve">Where the savings come from</t>
  </si>
  <si>
    <t xml:space="preserve">Driver</t>
  </si>
  <si>
    <t xml:space="preserve">Year 1 $</t>
  </si>
  <si>
    <t xml:space="preserve">% of total</t>
  </si>
  <si>
    <t xml:space="preserve">Public source</t>
  </si>
  <si>
    <t xml:space="preserve">Leakage reduction (more accurate first estimate)</t>
  </si>
  <si>
    <t xml:space="preserve">Verisk / EY / McKinsey</t>
  </si>
  <si>
    <t xml:space="preserve">Desk adjuster time savings</t>
  </si>
  <si>
    <t xml:space="preserve">BLS OEWS + BLS ECEC</t>
  </si>
  <si>
    <t xml:space="preserve">Supplemental handling reduction</t>
  </si>
  <si>
    <t xml:space="preserve">Seek Now internal (carrier-editable)</t>
  </si>
  <si>
    <t xml:space="preserve">Total annual benefit</t>
  </si>
  <si>
    <t xml:space="preserve">— FastEstimate annual cost</t>
  </si>
  <si>
    <t xml:space="preserve">Net annual benefit</t>
  </si>
  <si>
    <t xml:space="preserve">Measure it on your own book</t>
  </si>
  <si>
    <t xml:space="preserve">Run FastEstimate in parallel with your current workflow on a slice of your wind/hail claims. Seek Now measures cycle-time, estimate accuracy, and downstream leakage side-by-side and shares the results. We will size the sample to your book — enough volume to be statistically meaningful, small enough to stand up quickly. Talk to your Seek Now Strategic Account Director to scope it.</t>
  </si>
  <si>
    <t xml:space="preserve">Tabs: Cockpit (this view)  ·  Analyst Mode (full model)  ·  Scenarios &amp; Sensitivity  ·  Executive Summary  ·  Methodology &amp; Sources  ·  About FastEstimate</t>
  </si>
  <si>
    <t xml:space="preserve">Analyst Mode — Full Editable Model</t>
  </si>
  <si>
    <t xml:space="preserve">Every assumption editable. Formulas visible. Sources footnoted.</t>
  </si>
  <si>
    <t xml:space="preserve">Color key:</t>
  </si>
  <si>
    <t xml:space="preserve">Editable input</t>
  </si>
  <si>
    <t xml:space="preserve">Formula</t>
  </si>
  <si>
    <t xml:space="preserve">Source / note (italic gray)</t>
  </si>
  <si>
    <t xml:space="preserve">1. Carrier Context</t>
  </si>
  <si>
    <t xml:space="preserve">Carrier name</t>
  </si>
  <si>
    <t xml:space="preserve">[Carrier name]</t>
  </si>
  <si>
    <t xml:space="preserve">Scenario date</t>
  </si>
  <si>
    <t xml:space="preserve">2026-04-22</t>
  </si>
  <si>
    <t xml:space="preserve">Scenario name</t>
  </si>
  <si>
    <t xml:space="preserve">Moderate</t>
  </si>
  <si>
    <t xml:space="preserve">Prepared by</t>
  </si>
  <si>
    <t xml:space="preserve">[AD name], Seek Now Strategic Accounts</t>
  </si>
  <si>
    <t xml:space="preserve">2. Volume &amp; Economics</t>
  </si>
  <si>
    <t xml:space="preserve">Annual Seek Now inspection spend (carrier)</t>
  </si>
  <si>
    <t xml:space="preserve">Default anchor — $1M represents a mid-market carrier relationship per Seek Now internal portfolio data.</t>
  </si>
  <si>
    <t xml:space="preserve">Average price per solo inspection</t>
  </si>
  <si>
    <t xml:space="preserve">Current Seek Now standard solo pricing (internal).</t>
  </si>
  <si>
    <t xml:space="preserve">→ Derived annual W/H inspection volume</t>
  </si>
  <si>
    <t xml:space="preserve">Formula: Annual spend ÷ Price per solo</t>
  </si>
  <si>
    <t xml:space="preserve">FastEstimate attach rate (% of solos using FastEstimate)</t>
  </si>
  <si>
    <t xml:space="preserve">Carrier-editable. Pilot 25% / Moderate 50% / Full deployment 75%. See 'Scenarios &amp; Sensitivity' tab.</t>
  </si>
  <si>
    <t xml:space="preserve">→ Derived FastEstimate estimate volume</t>
  </si>
  <si>
    <t xml:space="preserve">Formula: Inspection volume × Attach rate</t>
  </si>
  <si>
    <t xml:space="preserve">FastEstimate price per estimate</t>
  </si>
  <si>
    <t xml:space="preserve">Seek Now standard FastEstimate pricing, April 2026 (internal).</t>
  </si>
  <si>
    <t xml:space="preserve">→ Annual FastEstimate spend (carrier outlay)</t>
  </si>
  <si>
    <t xml:space="preserve">Formula: Estimate volume × FastEstimate price</t>
  </si>
  <si>
    <t xml:space="preserve">3. Desk Adjuster Time Savings</t>
  </si>
  <si>
    <t xml:space="preserve">Manual estimate authoring time (minutes)</t>
  </si>
  <si>
    <t xml:space="preserve">Seek Now internal benchmark — no public dataset exists. Adjuster forum consensus 20–40 min for wind/hail.</t>
  </si>
  <si>
    <t xml:space="preserve">FastEstimate authoring time (minutes, with adjuster review)</t>
  </si>
  <si>
    <t xml:space="preserve">Seek Now site: "60 Second Estimates" (raw generation) + ~3 min adjuster review → 4 min total. https://seeknow.com/role/adjuster/</t>
  </si>
  <si>
    <t xml:space="preserve">→ Time saved per estimate (minutes)</t>
  </si>
  <si>
    <t xml:space="preserve">Desk adjuster fully-loaded hourly rate</t>
  </si>
  <si>
    <t xml:space="preserve">BLS OEWS (May 2023): mean base $78,220 × BLS ECEC 2024 benefits multiplier 1.31 = $102k fully loaded ÷ 2,080 hrs = $49/hr. https://www.bls.gov/oes/current/oes131031.htm / https://www.bls.gov/news.release/ecec.nr0.htm</t>
  </si>
  <si>
    <t xml:space="preserve">→ Year 1 time-savings value ($)</t>
  </si>
  <si>
    <t xml:space="preserve">Formula: Estimate volume × Time saved (hrs) × Hourly rate</t>
  </si>
  <si>
    <t xml:space="preserve">→ FTE capacity unlocked (annual)</t>
  </si>
  <si>
    <t xml:space="preserve">Formula: Total minutes saved ÷ 60 ÷ 2,080 hrs/year. Frame as growth capacity, not layoffs.</t>
  </si>
  <si>
    <t xml:space="preserve">4. Accuracy &amp; Leakage Reduction</t>
  </si>
  <si>
    <t xml:space="preserve">Average wind/hail claim severity</t>
  </si>
  <si>
    <t xml:space="preserve">Verisk Q3 2025 Quarterly Property Report (Dec 2025): $17,260–$18,430 — "the highest on record." We use the low end conservatively. https://www.insurancejournal.com/news/national/2025/12/09/850300.htm</t>
  </si>
  <si>
    <t xml:space="preserve">Leakage reduction from more accurate first estimate</t>
  </si>
  <si>
    <t xml:space="preserve">Deliberately conservative. EY: total leakage = 7–14% of carrier spend. McKinsey: AI claims tools drive 3–5 ppt indemnity reduction. We model ~1/3 of that. https://www.ey.com/en_us/insights/insurance/claims-litigation</t>
  </si>
  <si>
    <t xml:space="preserve">→ Year 1 leakage savings ($)</t>
  </si>
  <si>
    <t xml:space="preserve">Formula: Estimate volume × Avg severity × Leakage reduction %</t>
  </si>
  <si>
    <t xml:space="preserve">5. Supplemental Reduction</t>
  </si>
  <si>
    <t xml:space="preserve">NOTE: No public benchmark exists for supplemental rates. All fields below are carrier-editable and should reflect the carrier's own internal data.</t>
  </si>
  <si>
    <t xml:space="preserve">Current supplemental rate (% of W/H claims)</t>
  </si>
  <si>
    <t xml:space="preserve">Carrier-specific. Industry range 30–80% per PLRB session anecdotes; no public dataset.</t>
  </si>
  <si>
    <t xml:space="preserve">Supplemental reduction from better first estimate</t>
  </si>
  <si>
    <t xml:space="preserve">Seek Now internal estimate — accurate first estimate reduces follow-on supplementals by ~20%.</t>
  </si>
  <si>
    <t xml:space="preserve">Average adjuster time per supplemental (hours)</t>
  </si>
  <si>
    <t xml:space="preserve">Seek Now internal estimate. Carrier-specific.</t>
  </si>
  <si>
    <t xml:space="preserve">→ Year 1 supplemental-handling savings ($)</t>
  </si>
  <si>
    <t xml:space="preserve">Formula: Volume × Supp rate × Supp reduction × Hours per supp × Hourly rate</t>
  </si>
  <si>
    <t xml:space="preserve">6. Cycle Time &amp; Regulatory Risk</t>
  </si>
  <si>
    <t xml:space="preserve">Industry FNOL-to-payment cycle time (days)</t>
  </si>
  <si>
    <t xml:space="preserve">J.D. Power 2025 U.S. Property Claims Satisfaction Study: "average cycle time from first notice of loss to final payment is now more than 44 days... the longest since 2008." https://www.jdpower.com/business/press-releases/2025-us-property-claims-satisfaction-study</t>
  </si>
  <si>
    <t xml:space="preserve">Cycle days saved with FastEstimate</t>
  </si>
  <si>
    <t xml:space="preserve">Seek Now internal estimate. Conservative — FastEstimate collapses the desk adjuster authoring segment, which is one of the largest remaining bottlenecks.</t>
  </si>
  <si>
    <t xml:space="preserve">→ CSAT impact (J.D. Power benchmark)</t>
  </si>
  <si>
    <t xml:space="preserve">+167 pts at ≤10 days vs 31+</t>
  </si>
  <si>
    <t xml:space="preserve">J.D. Power 2025: CSAT = 762 at ≤10 days vs. 595 at 31+ days — 167-point swing on 1,000-point scale.</t>
  </si>
  <si>
    <t xml:space="preserve">→ Statutory penalty exposure avoided</t>
  </si>
  <si>
    <t xml:space="preserve">TX 18%/yr · LA 50% · FL 60-day</t>
  </si>
  <si>
    <t xml:space="preserve">See 'Methodology &amp; Sources' tab for statute citations.</t>
  </si>
  <si>
    <t xml:space="preserve">7. Totals &amp; ROI</t>
  </si>
  <si>
    <t xml:space="preserve">FastEstimate annual cost</t>
  </si>
  <si>
    <t xml:space="preserve">ROI multiple</t>
  </si>
  <si>
    <t xml:space="preserve">Net $ per estimate</t>
  </si>
  <si>
    <t xml:space="preserve">→ Return to Cockpit view  ·  See Executive Summary  ·  View Methodology &amp; Sources</t>
  </si>
  <si>
    <t xml:space="preserve">Scenarios &amp; Sensitivity</t>
  </si>
  <si>
    <t xml:space="preserve">Compare Pilot / Moderate / Full deployment · Stress-test every assumption</t>
  </si>
  <si>
    <t xml:space="preserve">Three deployment scenarios — same carrier, different commitment</t>
  </si>
  <si>
    <t xml:space="preserve">Scenario</t>
  </si>
  <si>
    <t xml:space="preserve">Pilot (25%)</t>
  </si>
  <si>
    <t xml:space="preserve">Moderate (50%)</t>
  </si>
  <si>
    <t xml:space="preserve">Full (75%)</t>
  </si>
  <si>
    <t xml:space="preserve">FastEstimate attach rate</t>
  </si>
  <si>
    <t xml:space="preserve">Estimate volume</t>
  </si>
  <si>
    <t xml:space="preserve">Annual FastEstimate cost</t>
  </si>
  <si>
    <t xml:space="preserve">Time savings</t>
  </si>
  <si>
    <t xml:space="preserve">Leakage savings</t>
  </si>
  <si>
    <t xml:space="preserve">Supplemental savings</t>
  </si>
  <si>
    <t xml:space="preserve">Note: ROI multiple and net $/estimate are identical across scenarios — FastEstimate economics are per-transaction and scale linearly. Every estimate is net-positive from claim #1; there is no breakeven to wait for. What changes with attach rate is absolute $ savings and FE spend. Pilots prove the model; full deployment unlocks the full $ benefit.</t>
  </si>
  <si>
    <t xml:space="preserve">Sensitivity: Volume × Attach rate — Net annual benefit</t>
  </si>
  <si>
    <t xml:space="preserve">Each cell = Net annual benefit at that combination. Green = strong ROI. Red = underwater.</t>
  </si>
  <si>
    <t xml:space="preserve">Annual Seek Now Volume ↓  \  Attach Rate →</t>
  </si>
  <si>
    <t xml:space="preserve">10%</t>
  </si>
  <si>
    <t xml:space="preserve">25%</t>
  </si>
  <si>
    <t xml:space="preserve">50%</t>
  </si>
  <si>
    <t xml:space="preserve">75%</t>
  </si>
  <si>
    <t xml:space="preserve">100%</t>
  </si>
  <si>
    <t xml:space="preserve">1,000 inspections</t>
  </si>
  <si>
    <t xml:space="preserve">2,500 inspections</t>
  </si>
  <si>
    <t xml:space="preserve">5,000 inspections</t>
  </si>
  <si>
    <t xml:space="preserve">7,500 inspections</t>
  </si>
  <si>
    <t xml:space="preserve">10,000 inspections</t>
  </si>
  <si>
    <t xml:space="preserve">15,000 inspections</t>
  </si>
  <si>
    <t xml:space="preserve">25,000 inspections</t>
  </si>
  <si>
    <t xml:space="preserve">Sensitivity: Claim severity × Leakage reduction — Benefit per 1,000 estimates</t>
  </si>
  <si>
    <t xml:space="preserve">Stress-test the two biggest 'skeptic' inputs. Even at conservative ends, ROI holds.</t>
  </si>
  <si>
    <t xml:space="preserve">Severity ↓  \  Leakage →</t>
  </si>
  <si>
    <t xml:space="preserve">1%</t>
  </si>
  <si>
    <t xml:space="preserve">2%</t>
  </si>
  <si>
    <t xml:space="preserve">3%</t>
  </si>
  <si>
    <t xml:space="preserve">4%</t>
  </si>
  <si>
    <t xml:space="preserve">5%</t>
  </si>
  <si>
    <t xml:space="preserve">$12,000</t>
  </si>
  <si>
    <t xml:space="preserve">$15,000</t>
  </si>
  <si>
    <t xml:space="preserve">$17,260</t>
  </si>
  <si>
    <t xml:space="preserve">$20,000</t>
  </si>
  <si>
    <t xml:space="preserve">$25,000</t>
  </si>
  <si>
    <t xml:space="preserve">Note: Even at the most conservative combination ($12K severity × 1% leakage), benefit/estimate substantially exceeds the $45 cost — the model breaks only with implausibly low inputs.</t>
  </si>
  <si>
    <t xml:space="preserve">Executive Summary — FastEstimate ROI</t>
  </si>
  <si>
    <t xml:space="preserve">Prepared for carrier leadership · Sources disclosed · Methodology published</t>
  </si>
  <si>
    <t xml:space="preserve">The bottom line</t>
  </si>
  <si>
    <t xml:space="preserve">The four numbers that matter</t>
  </si>
  <si>
    <t xml:space="preserve">Year 1 Net Savings</t>
  </si>
  <si>
    <t xml:space="preserve">ROI Multiple</t>
  </si>
  <si>
    <t xml:space="preserve">Net $ / Estimate</t>
  </si>
  <si>
    <t xml:space="preserve">Cycle Days Saved</t>
  </si>
  <si>
    <t xml:space="preserve">Why this works — three sources of savings</t>
  </si>
  <si>
    <t xml:space="preserve">1. More accurate first estimate</t>
  </si>
  <si>
    <t xml:space="preserve">Reduces downstream leakage by 2% of claim severity — a conservative floor against EY's published 7–14% total leakage benchmark.</t>
  </si>
  <si>
    <t xml:space="preserve">2. Faster authoring</t>
  </si>
  <si>
    <t xml:space="preserve">Manual Xactimate estimate drops from 25 min to ~4 min (incl. adjuster review) — saves fully-loaded adjuster time at BLS-benchmarked $49/hr.</t>
  </si>
  <si>
    <t xml:space="preserve">3. Fewer supplementals</t>
  </si>
  <si>
    <t xml:space="preserve">Better first estimate means fewer supplemental requests to negotiate — each supplemental consumes adjuster time carriers don't get back.</t>
  </si>
  <si>
    <t xml:space="preserve">Every number in this calculator is publicly sourced</t>
  </si>
  <si>
    <t xml:space="preserve">Defaults in this model are anchored to 11 authoritative public sources including the Bureau of Labor Statistics (adjuster wages + ECEC benefits load), Verisk Q3 2025 Quarterly Property Report (wind/hail severity), J.D. Power 2025 Property Claims Satisfaction Study (44-day cycle-time baseline), McKinsey Claims 2030 (LAE benchmarks), EY P&amp;C Claims Transformation (leakage benchmarks), Triple-I (wind/hail share of losses), and state insurance codes (TX §542, LA §22:1892, FL §627.70131, CA 10 CCR §2695.7, CO §10-3-1116, GA §33-4-6). Stats labeled "Seek Now internal" are flagged explicitly in the Methodology &amp; Sources tab; none are presented as industry benchmarks.</t>
  </si>
  <si>
    <t xml:space="preserve">Run FastEstimate in parallel with your current workflow on a slice of your wind/hail claims. Seek Now measures cycle-time, estimate accuracy, and downstream leakage side-by-side and shares the results. We will size the sample to your book. Contact your Seek Now Strategic Account Director to scope it.</t>
  </si>
  <si>
    <t xml:space="preserve">Seek Now · 3,600 Chamberlain Ln, Suite 736, Louisville, KY 40241 · seeknow.com  ·  FastEstimate ROI Calculator v1.0 · Methodology published April 2026</t>
  </si>
  <si>
    <t xml:space="preserve">Methodology &amp; Sources</t>
  </si>
  <si>
    <t xml:space="preserve">Every default, every source, every URL. Built for carrier finance and procurement review.</t>
  </si>
  <si>
    <t xml:space="preserve">Source matrix — every input traces to a citable dataset</t>
  </si>
  <si>
    <t xml:space="preserve">Input / assumption</t>
  </si>
  <si>
    <t xml:space="preserve">Value</t>
  </si>
  <si>
    <t xml:space="preserve">Source</t>
  </si>
  <si>
    <t xml:space="preserve">Verbatim quote / note</t>
  </si>
  <si>
    <t xml:space="preserve">Date</t>
  </si>
  <si>
    <t xml:space="preserve">Type</t>
  </si>
  <si>
    <t xml:space="preserve">Desk adjuster base wage</t>
  </si>
  <si>
    <t xml:space="preserve">$78,220</t>
  </si>
  <si>
    <t xml:space="preserve">BLS OEWS — Claims Adjusters, Examiners, Investigators (SOC 13-1031)</t>
  </si>
  <si>
    <t xml:space="preserve">Mean annual wage: $78,220 (May 2023). https://www.bls.gov/oes/current/oes131031.htm</t>
  </si>
  <si>
    <t xml:space="preserve">May 2023</t>
  </si>
  <si>
    <t xml:space="preserve">Public</t>
  </si>
  <si>
    <t xml:space="preserve">Benefits multiplier</t>
  </si>
  <si>
    <t xml:space="preserve">1.31x</t>
  </si>
  <si>
    <t xml:space="preserve">BLS Employer Costs for Employee Compensation (ECEC)</t>
  </si>
  <si>
    <t xml:space="preserve">Benefit costs averaged 31.0% of total employer compensation (Dec 2024). https://www.bls.gov/news.release/ecec.nr0.htm</t>
  </si>
  <si>
    <t xml:space="preserve">Dec 2024</t>
  </si>
  <si>
    <t xml:space="preserve">Adjuster fully-loaded hourly</t>
  </si>
  <si>
    <t xml:space="preserve">$49/hr</t>
  </si>
  <si>
    <t xml:space="preserve">Derived: BLS base × ECEC multiplier ÷ 2,080 hrs</t>
  </si>
  <si>
    <t xml:space="preserve">$78,220 × 1.31 / 2,080 = $49.25. Conservative vs. market (Glassdoor range $58K–$89K property desk adjuster × 1.31).</t>
  </si>
  <si>
    <t xml:space="preserve">2024–25</t>
  </si>
  <si>
    <t xml:space="preserve">Derived</t>
  </si>
  <si>
    <t xml:space="preserve">Wind/hail avg severity</t>
  </si>
  <si>
    <t xml:space="preserve">Verisk Q3 2025 Quarterly Property Report</t>
  </si>
  <si>
    <t xml:space="preserve">"After maturation adjustments, Verisk expects the average claim severity to be between about $17,260 and $18,430." Used the low end conservatively. https://www.insurancejournal.com/news/national/2025/12/09/850300.htm</t>
  </si>
  <si>
    <t xml:space="preserve">Dec 2025</t>
  </si>
  <si>
    <t xml:space="preserve">Wind/hail share of SCS claims</t>
  </si>
  <si>
    <t xml:space="preserve">~80%</t>
  </si>
  <si>
    <t xml:space="preserve">Triple-I / Insurance Information Institute</t>
  </si>
  <si>
    <t xml:space="preserve">"Hail alone accounts for as much as 80% of severe convective storm claims in any given year, with roofs bearing an estimated 70% to 90% of total insured residential catastrophic losses." https://insuranceindustryblog.iii.org/convective-storm-losses-hit-historic-three-year-streak/</t>
  </si>
  <si>
    <t xml:space="preserve">April 2026</t>
  </si>
  <si>
    <t xml:space="preserve">U.S. roof claims 2024</t>
  </si>
  <si>
    <t xml:space="preserve">$31B</t>
  </si>
  <si>
    <t xml:space="preserve">Verisk U.S. Roofing Realities Trend Report</t>
  </si>
  <si>
    <t xml:space="preserve">"Residential roof-related insurance claims in the U.S. reached a staggering $31 billion in 2024... Wind and hail were the predominant drivers." https://www.verisk.com/company/newsroom/u.s.-roof-claims-costs-reached-over-$30-billion-in-2024-underscoring-evolving-risks/</t>
  </si>
  <si>
    <t xml:space="preserve">April 2025</t>
  </si>
  <si>
    <t xml:space="preserve">FNOL-to-payment industry cycle time</t>
  </si>
  <si>
    <t xml:space="preserve">44+ days</t>
  </si>
  <si>
    <t xml:space="preserve">J.D. Power 2025 U.S. Property Claims Satisfaction Study</t>
  </si>
  <si>
    <t xml:space="preserve">"The average cycle time from first notice of loss to final payment is now more than 44 days... the longest since 2008." https://www.jdpower.com/business/press-releases/2025-us-property-claims-satisfaction-study</t>
  </si>
  <si>
    <t xml:space="preserve">March 2025</t>
  </si>
  <si>
    <t xml:space="preserve">CSAT cliff at 31+ days</t>
  </si>
  <si>
    <t xml:space="preserve">-167 pts</t>
  </si>
  <si>
    <t xml:space="preserve">J.D. Power 2025 Study (same as above)</t>
  </si>
  <si>
    <t xml:space="preserve">"Average overall customer satisfaction score for a claim completed within 10 days is 762... that score falls 167 points to 595 when repairs take more than 31 days."</t>
  </si>
  <si>
    <t xml:space="preserve">Leakage benchmark (framing for 2%)</t>
  </si>
  <si>
    <t xml:space="preserve">7–14% of spend</t>
  </si>
  <si>
    <t xml:space="preserve">EY P&amp;C Claims Transformation insights</t>
  </si>
  <si>
    <t xml:space="preserve">"Leakage represents approximately 7% to 14% of carriers' total spend, based on latest claims quality assessments." We model ~1/3 of this as attributable to better first estimates. https://www.ey.com/en_us/insights/insurance/claims-litigation</t>
  </si>
  <si>
    <t xml:space="preserve">2024</t>
  </si>
  <si>
    <t xml:space="preserve">Leakage benchmark (alternate)</t>
  </si>
  <si>
    <t xml:space="preserve">3–5 ppt indemnity</t>
  </si>
  <si>
    <t xml:space="preserve">McKinsey — Future of AI in insurance</t>
  </si>
  <si>
    <t xml:space="preserve">"25–30% reduction in loss adjustment expenses and a 3–5 percentage point decrease in indemnity spend for carriers deploying AI-driven reserve modeling." https://www.mckinsey.com/industries/financial-services/our-insights/the-future-of-ai-in-the-insurance-industry</t>
  </si>
  <si>
    <t xml:space="preserve">2020–24</t>
  </si>
  <si>
    <t xml:space="preserve">LAE % of premium</t>
  </si>
  <si>
    <t xml:space="preserve">10–12%</t>
  </si>
  <si>
    <t xml:space="preserve">McKinsey Claims 2030</t>
  </si>
  <si>
    <t xml:space="preserve">"LAE typically accounts for approximately 10 to 12 percent of premiums for personal lines carriers." https://www.mckinsey.com/industries/financial-services/our-insights/claims-2030-a-talent-strategy-for-the-future-of-insurance-claims</t>
  </si>
  <si>
    <t xml:space="preserve">2021</t>
  </si>
  <si>
    <t xml:space="preserve">Hail loss costs 2022→2023</t>
  </si>
  <si>
    <t xml:space="preserve">+57.9%</t>
  </si>
  <si>
    <t xml:space="preserve">LexisNexis Home Trends Report</t>
  </si>
  <si>
    <t xml:space="preserve">"Hail loss costs increased 57.9 percent from 2022 to 2023... frequency up 53.6 percent... severity rising 2.8 percent." https://risk.lexisnexis.com/about-us/press-room/press-release/20241016-home-trends-report</t>
  </si>
  <si>
    <t xml:space="preserve">Oct 2024</t>
  </si>
  <si>
    <t xml:space="preserve">FastEstimate generation time</t>
  </si>
  <si>
    <t xml:space="preserve">60 seconds</t>
  </si>
  <si>
    <t xml:space="preserve">Seek Now — Adjusters page</t>
  </si>
  <si>
    <t xml:space="preserve">"60 Second Estimates... Turn SeekNow inspection data into a draft estimate, available with every SeekNow inspection." https://seeknow.com/role/adjuster/</t>
  </si>
  <si>
    <t xml:space="preserve">2026</t>
  </si>
  <si>
    <t xml:space="preserve">Seek Now marketing</t>
  </si>
  <si>
    <t xml:space="preserve">Seek Now scale</t>
  </si>
  <si>
    <t xml:space="preserve">3,000+ inspections/day</t>
  </si>
  <si>
    <t xml:space="preserve">Seek Now — company site</t>
  </si>
  <si>
    <t xml:space="preserve">"3,000+ inspections completed daily · 1,000+ Seekers across the U.S. · 54M+ inspection data points captured annually · 150+ insurance carriers trust SeekNow."</t>
  </si>
  <si>
    <t xml:space="preserve">TX prompt-pay statute</t>
  </si>
  <si>
    <t xml:space="preserve">18%/yr + fees</t>
  </si>
  <si>
    <t xml:space="preserve">Texas Insurance Code Chapter 542</t>
  </si>
  <si>
    <t xml:space="preserve">15 days acknowledge · 15 business days decide · 5 business days pay. Penalty: 18% per annum + attorney's fees. https://statutes.capitol.texas.gov/Docs/IN/pdf/IN.542.pdf</t>
  </si>
  <si>
    <t xml:space="preserve">Statute</t>
  </si>
  <si>
    <t xml:space="preserve">LA prompt-pay statute</t>
  </si>
  <si>
    <t xml:space="preserve">50% penalty</t>
  </si>
  <si>
    <t xml:space="preserve">Louisiana R.S. 22:1892</t>
  </si>
  <si>
    <t xml:space="preserve">14 days initiate · 30 days pay. Penalty: 50% damages or $1,000 (greater) when arbitrary/capricious. https://legis.la.gov/Legis/Law.aspx?d=509041</t>
  </si>
  <si>
    <t xml:space="preserve">FL prompt-pay statute</t>
  </si>
  <si>
    <t xml:space="preserve">60 days</t>
  </si>
  <si>
    <t xml:space="preserve">Florida Stat. 627.70131 (post-SB 2A)</t>
  </si>
  <si>
    <t xml:space="preserve">7 days acknowledge · 60 days pay or deny (was 90 before Dec 2022 reform). https://m.flsenate.gov/Statutes/627.70131</t>
  </si>
  <si>
    <t xml:space="preserve">CA claims settlement reg.</t>
  </si>
  <si>
    <t xml:space="preserve">40 days</t>
  </si>
  <si>
    <t xml:space="preserve">California 10 CCR § 2695.7</t>
  </si>
  <si>
    <t xml:space="preserve">15 days acknowledge · 40 days accept/deny · 30 days pay after acceptance. https://www.law.cornell.edu/regulations/california/10-CCR-2695.7</t>
  </si>
  <si>
    <t xml:space="preserve">Regulation</t>
  </si>
  <si>
    <t xml:space="preserve">CO bad-faith penalty</t>
  </si>
  <si>
    <t xml:space="preserve">2x benefit + fees</t>
  </si>
  <si>
    <t xml:space="preserve">Colorado C.R.S. §§ 10-3-1115 / 10-3-1116</t>
  </si>
  <si>
    <t xml:space="preserve">Penalty for unreasonable delay/denial: 2x covered benefit + attorney's fees. https://codes.findlaw.com/co/title-10-insurance/co-rev-st-sect-10-3-1104/</t>
  </si>
  <si>
    <t xml:space="preserve">GA bad-faith penalty</t>
  </si>
  <si>
    <t xml:space="preserve">50% of loss</t>
  </si>
  <si>
    <t xml:space="preserve">Georgia O.C.G.A. § 33-4-6</t>
  </si>
  <si>
    <t xml:space="preserve">Refusal to pay within 60 days in bad faith: up to 50% of loss (or $5,000) + attorney's fees. https://codes.findlaw.com/ga/title-33-insurance/ga-code-sect-33-4-6/</t>
  </si>
  <si>
    <t xml:space="preserve">Manual estimate time</t>
  </si>
  <si>
    <t xml:space="preserve">20–30 min</t>
  </si>
  <si>
    <t xml:space="preserve">Seek Now internal benchmark</t>
  </si>
  <si>
    <t xml:space="preserve">No public dataset publishes per-estimate authoring time. Adjuster forum consensus supports 20–40 min for wind/hail. Labeled as Seek Now internal.</t>
  </si>
  <si>
    <t xml:space="preserve">Internal</t>
  </si>
  <si>
    <t xml:space="preserve">Seek Now internal</t>
  </si>
  <si>
    <t xml:space="preserve">Supplemental rate</t>
  </si>
  <si>
    <t xml:space="preserve">50% (default)</t>
  </si>
  <si>
    <t xml:space="preserve">Seek Now internal — no public benchmark</t>
  </si>
  <si>
    <t xml:space="preserve">LexisNexis, Verisk, Triple-I, and NAIC do not publish supplemental-request rates. Industry range 30–80% per PLRB session anecdotes. Carrier-editable field in calculator.</t>
  </si>
  <si>
    <t xml:space="preserve">Supplemental reduction %</t>
  </si>
  <si>
    <t xml:space="preserve">20%</t>
  </si>
  <si>
    <t xml:space="preserve">Seek Now internal estimate</t>
  </si>
  <si>
    <t xml:space="preserve">Operational assumption that an accurate first estimate reduces downstream supplementals. Carrier-editable.</t>
  </si>
  <si>
    <t xml:space="preserve">Adjuster time per supplemental</t>
  </si>
  <si>
    <t xml:space="preserve">1.5 hrs</t>
  </si>
  <si>
    <t xml:space="preserve">No public benchmark. Carrier-editable field.</t>
  </si>
  <si>
    <t xml:space="preserve">Unknown at launch. Modeled as carrier-editable input with Pilot (25%) / Moderate (50%) / Full (75%) presets on Scenarios tab.</t>
  </si>
  <si>
    <t xml:space="preserve">Cycle days saved</t>
  </si>
  <si>
    <t xml:space="preserve">5 days</t>
  </si>
  <si>
    <t xml:space="preserve">Conservative. FastEstimate compresses desk-adjuster authoring — one of the largest remaining cycle-time segments after field inspection is already compressed by Seeker network.</t>
  </si>
  <si>
    <t xml:space="preserve">Methodology notes</t>
  </si>
  <si>
    <t xml:space="preserve">• Benefit = (time savings) + (leakage reduction) + (supplemental handling reduction). Cost = estimate volume × $45.</t>
  </si>
  <si>
    <t xml:space="preserve">• Time savings uses BLS-benchmarked fully-loaded adjuster hourly rate, not company-specific. Carriers can override on Analyst Mode.</t>
  </si>
  <si>
    <t xml:space="preserve">• Leakage reduction is set at 2% — deliberately below EY 7–14% total leakage and McKinsey 3–5 ppt indemnity benchmarks. Not all leakage is addressable by better first estimate; we model ~1/3.</t>
  </si>
  <si>
    <t xml:space="preserve">• Cycle time savings (5 days) is Seek Now internal. The $ value is shown as statutory penalty exposure avoided + CSAT impact, not baked into ROI math (to avoid double-counting).</t>
  </si>
  <si>
    <t xml:space="preserve">• Supplemental rate and reduction % are Seek Now internal estimates because no public dataset benchmarks these. Labeled accordingly. Carriers should override with their own data.</t>
  </si>
  <si>
    <t xml:space="preserve">• Model version: FastEstimate ROI Calculator v1.0. Last methodology review: April 2026.</t>
  </si>
  <si>
    <t xml:space="preserve">About FastEstimate</t>
  </si>
  <si>
    <t xml:space="preserve">Workflow, scale, and how FastEstimate fits alongside existing tools and vendors</t>
  </si>
  <si>
    <t xml:space="preserve">Seek Now at a glance</t>
  </si>
  <si>
    <t xml:space="preserve">3,000+</t>
  </si>
  <si>
    <t xml:space="preserve">Inspections completed daily across all 50 states</t>
  </si>
  <si>
    <t xml:space="preserve">1,000+</t>
  </si>
  <si>
    <t xml:space="preserve">Seekers — gig field pros trained in structured inspection</t>
  </si>
  <si>
    <t xml:space="preserve">54M+</t>
  </si>
  <si>
    <t xml:space="preserve">Inspection data points captured annually</t>
  </si>
  <si>
    <t xml:space="preserve">150+</t>
  </si>
  <si>
    <t xml:space="preserve">Insurance carriers, including every top 10 P&amp;C</t>
  </si>
  <si>
    <t xml:space="preserve">Under 48 hrs</t>
  </si>
  <si>
    <t xml:space="preserve">Typical inspection turnaround</t>
  </si>
  <si>
    <t xml:space="preserve">60 sec</t>
  </si>
  <si>
    <t xml:space="preserve">FastEstimate draft estimate generation time</t>
  </si>
  <si>
    <t xml:space="preserve">Source: seeknow.com (company page + Adjusters page), April 2026.</t>
  </si>
  <si>
    <t xml:space="preserve">The FastEstimate workflow — what carriers actually buy</t>
  </si>
  <si>
    <t xml:space="preserve">Step</t>
  </si>
  <si>
    <t xml:space="preserve">Without FastEstimate</t>
  </si>
  <si>
    <t xml:space="preserve">With FastEstimate</t>
  </si>
  <si>
    <t xml:space="preserve">1. Inspection complete</t>
  </si>
  <si>
    <t xml:space="preserve">Seeker finishes inspection, field data &amp; photos sent to carrier.</t>
  </si>
  <si>
    <t xml:space="preserve">Seeker finishes inspection. Field data auto-flows into FastEstimate UI.</t>
  </si>
  <si>
    <t xml:space="preserve">2. Estimate draft</t>
  </si>
  <si>
    <t xml:space="preserve">Desk adjuster opens Xactimate cold. Builds sketch, scopes damages, applies pricing from scratch. ~25 minutes.</t>
  </si>
  <si>
    <t xml:space="preserve">FastEstimate produces a clickable draft estimate in under 60 seconds. Adjuster reviews in FastEstimate UI.</t>
  </si>
  <si>
    <t xml:space="preserve">3. Transfer to system of record</t>
  </si>
  <si>
    <t xml:space="preserve">Adjuster manually enters or finalizes estimate in Xactimate.</t>
  </si>
  <si>
    <t xml:space="preserve">One-click extract from FastEstimate into Xactimate. Adjuster makes final adjustments in Xactimate. ~3 minutes.</t>
  </si>
  <si>
    <t xml:space="preserve">4. Total time</t>
  </si>
  <si>
    <t xml:space="preserve">20–30 minutes authoring + review.</t>
  </si>
  <si>
    <t xml:space="preserve">Under 5 minutes end-to-end.</t>
  </si>
  <si>
    <t xml:space="preserve">5. Accuracy characteristics</t>
  </si>
  <si>
    <t xml:space="preserve">Variability across adjusters — best ones are fast + accurate; others slower + more error-prone.</t>
  </si>
  <si>
    <t xml:space="preserve">Draft reflects Seek Now's best-practice estimate pattern across 54M+ data points. Adjuster keeps full control before system of record.</t>
  </si>
  <si>
    <t xml:space="preserve">How FastEstimate fits with existing tools</t>
  </si>
  <si>
    <t xml:space="preserve">Tool / approach</t>
  </si>
  <si>
    <t xml:space="preserve">Role in the workflow</t>
  </si>
  <si>
    <t xml:space="preserve">Relationship to FastEstimate</t>
  </si>
  <si>
    <t xml:space="preserve">Xactimate (carrier system of record)</t>
  </si>
  <si>
    <t xml:space="preserve">Industry-standard estimating platform where adjusters finalize and publish estimates.</t>
  </si>
  <si>
    <t xml:space="preserve">FastEstimate produces a draft that extracts into Xactimate with one click. Xactimate remains the system of record; FastEstimate eliminates only the cold-start authoring step.</t>
  </si>
  <si>
    <t xml:space="preserve">EagleView measurement reports</t>
  </si>
  <si>
    <t xml:space="preserve">Aerial roof and property measurements delivered to the adjuster.</t>
  </si>
  <si>
    <t xml:space="preserve">FastEstimate consumes EagleView measurement inputs and produces the draft estimate. EagleView is Seek Now's preferred measurement partner — complementary, not competitive.</t>
  </si>
  <si>
    <t xml:space="preserve">AI estimate tools embedded in Xactimate</t>
  </si>
  <si>
    <t xml:space="preserve">Computer vision estimates generated from homeowner- or contractor-submitted photos.</t>
  </si>
  <si>
    <t xml:space="preserve">FastEstimate uses a trained Seeker's 150+ structured field data points rather than homeowner photos. Different input quality drives different estimate accuracy; both can coexist in a carrier's stack.</t>
  </si>
  <si>
    <t xml:space="preserve">Desk adjuster writing estimates manually</t>
  </si>
  <si>
    <t xml:space="preserve">Adjuster opens Xactimate cold and builds the estimate from the inspection report.</t>
  </si>
  <si>
    <t xml:space="preserve">FastEstimate replaces only the manual authoring stage. Adjuster keeps Xactimate and keeps final control of the estimate before it's published.</t>
  </si>
  <si>
    <t xml:space="preserve">Outsourced estimate-writing services</t>
  </si>
  <si>
    <t xml:space="preserve">Third-party estimate writers with 24–48 hour turnaround.</t>
  </si>
  <si>
    <t xml:space="preserve">FastEstimate generates drafts in under 60 seconds and stays inside the carrier's adjuster workflow rather than handing estimates to a third-party service.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</si>
</sst>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\$#,##0"/>
    <numFmt numFmtId="166" formatCode="0.0%"/>
    <numFmt numFmtId="167" formatCode="0.0\x"/>
    <numFmt numFmtId="168" formatCode="0&quot; days&quot;"/>
    <numFmt numFmtId="169" formatCode="0.00"/>
    <numFmt numFmtId="170" formatCode="#,##0"/>
    <numFmt numFmtId="171" formatCode="0"/>
    <numFmt numFmtId="172" formatCode="0.0"/>
    <numFmt numFmtId="173" formatCode="0.0\x"/>
  </numFmts>
  <fonts count="3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0"/>
      <charset val="1"/>
    </font>
    <font>
      <i val="true"/>
      <sz val="11"/>
      <color rgb="FFFFFFFF"/>
      <name val="Arial"/>
      <family val="0"/>
      <charset val="1"/>
    </font>
    <font>
      <b val="true"/>
      <sz val="11"/>
      <color rgb="FF043428"/>
      <name val="Arial"/>
      <family val="0"/>
      <charset val="1"/>
    </font>
    <font>
      <b val="true"/>
      <sz val="12"/>
      <color rgb="FF008000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i val="true"/>
      <sz val="9"/>
      <color rgb="FF8B8B8B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20"/>
      <color rgb="FF20B24F"/>
      <name val="Arial"/>
      <family val="0"/>
      <charset val="1"/>
    </font>
    <font>
      <b val="true"/>
      <sz val="18"/>
      <color rgb="FF20B24F"/>
      <name val="Arial"/>
      <family val="0"/>
      <charset val="1"/>
    </font>
    <font>
      <b val="true"/>
      <sz val="16"/>
      <color rgb="FF20B24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sz val="10"/>
      <color rgb="FF043428"/>
      <name val="Arial"/>
      <family val="0"/>
      <charset val="1"/>
    </font>
    <font>
      <sz val="11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9"/>
      <color rgb="FF6B728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sz val="11"/>
      <color rgb="FF043428"/>
      <name val="Arial"/>
      <family val="0"/>
      <charset val="1"/>
    </font>
    <font>
      <b val="true"/>
      <sz val="10"/>
      <color rgb="FF043428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i val="true"/>
      <sz val="10"/>
      <color rgb="FF8B8B8B"/>
      <name val="Arial"/>
      <family val="0"/>
      <charset val="1"/>
    </font>
    <font>
      <b val="true"/>
      <sz val="11"/>
      <color rgb="FF008000"/>
      <name val="Arial"/>
      <family val="0"/>
      <charset val="1"/>
    </font>
    <font>
      <i val="true"/>
      <sz val="9"/>
      <color rgb="FFF99B1E"/>
      <name val="Arial"/>
      <family val="0"/>
      <charset val="1"/>
    </font>
    <font>
      <i val="true"/>
      <sz val="10"/>
      <color rgb="FF043428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2"/>
      <color rgb="FF043428"/>
      <name val="Arial"/>
      <family val="0"/>
      <charset val="1"/>
    </font>
    <font>
      <b val="true"/>
      <sz val="14"/>
      <color rgb="FF043428"/>
      <name val="Arial"/>
      <family val="0"/>
      <charset val="1"/>
    </font>
    <font>
      <b val="true"/>
      <sz val="22"/>
      <color rgb="FF20B24F"/>
      <name val="Arial"/>
      <family val="0"/>
      <charset val="1"/>
    </font>
    <font>
      <b val="true"/>
      <sz val="11"/>
      <color rgb="FF20B24F"/>
      <name val="Arial"/>
      <family val="0"/>
      <charset val="1"/>
    </font>
    <font>
      <sz val="9"/>
      <color rgb="FF043428"/>
      <name val="Arial"/>
      <family val="0"/>
      <charset val="1"/>
    </font>
    <font>
      <b val="true"/>
      <sz val="9"/>
      <color rgb="FF047857"/>
      <name val="Arial"/>
      <family val="0"/>
      <charset val="1"/>
    </font>
    <font>
      <b val="true"/>
      <sz val="9"/>
      <color rgb="FFD97706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043428"/>
        <bgColor rgb="FF003366"/>
      </patternFill>
    </fill>
    <fill>
      <patternFill patternType="solid">
        <fgColor rgb="FF20B24F"/>
        <bgColor rgb="FF008080"/>
      </patternFill>
    </fill>
    <fill>
      <patternFill patternType="solid">
        <fgColor rgb="FFFFFF00"/>
        <bgColor rgb="FFFFFF00"/>
      </patternFill>
    </fill>
    <fill>
      <patternFill patternType="solid">
        <fgColor rgb="FFF0F7F1"/>
        <bgColor rgb="FFF5F5F5"/>
      </patternFill>
    </fill>
    <fill>
      <patternFill patternType="solid">
        <fgColor rgb="FFF5F5F5"/>
        <bgColor rgb="FFF0F7F1"/>
      </patternFill>
    </fill>
    <fill>
      <patternFill patternType="solid">
        <fgColor rgb="FFF99B1E"/>
        <bgColor rgb="FFD97706"/>
      </patternFill>
    </fill>
    <fill>
      <patternFill patternType="solid">
        <fgColor rgb="FFFAFAFA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6B7280"/>
      </left>
      <right style="thin">
        <color rgb="FF6B7280"/>
      </right>
      <top style="thin">
        <color rgb="FF6B7280"/>
      </top>
      <bottom style="thin">
        <color rgb="FF6B728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9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9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7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5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0" fillId="5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3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1" fillId="5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3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6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70" fontId="2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26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9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2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2" fontId="9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9" fillId="5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9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29" fillId="5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0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30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6" fillId="6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6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24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24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2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31" fillId="5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32" fillId="5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33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33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33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6" fillId="5" borderId="0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6" fillId="7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2" fillId="8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3" fillId="8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35" fillId="8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0" fillId="8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35" fillId="8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36" fillId="8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3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37" fillId="8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2" fillId="8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6" fillId="8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47857"/>
      <rgbColor rgb="FFC0C0C0"/>
      <rgbColor rgb="FF8B8B8B"/>
      <rgbColor rgb="FF9999FF"/>
      <rgbColor rgb="FF993366"/>
      <rgbColor rgb="FFFAFAFA"/>
      <rgbColor rgb="FFF0F7F1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5F5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99B1E"/>
      <rgbColor rgb="FFD97706"/>
      <rgbColor rgb="FF6B7280"/>
      <rgbColor rgb="FF969696"/>
      <rgbColor rgb="FF003366"/>
      <rgbColor rgb="FF20B24F"/>
      <rgbColor rgb="FF043428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2"/>
    <col collapsed="false" customWidth="true" hidden="false" outlineLevel="0" max="3" min="3" style="0" width="14"/>
    <col collapsed="false" customWidth="true" hidden="false" outlineLevel="0" max="5" min="4" style="0" width="16"/>
    <col collapsed="false" customWidth="true" hidden="false" outlineLevel="0" max="7" min="6" style="0" width="14"/>
    <col collapsed="false" customWidth="true" hidden="false" outlineLevel="0" max="8" min="8" style="0" width="16"/>
    <col collapsed="false" customWidth="true" hidden="false" outlineLevel="0" max="9" min="9" style="0" width="14"/>
    <col collapsed="false" customWidth="true" hidden="false" outlineLevel="0" max="10" min="10" style="0" width="16"/>
    <col collapsed="false" customWidth="true" hidden="false" outlineLevel="0" max="12" min="11" style="0" width="2"/>
  </cols>
  <sheetData>
    <row r="1" customFormat="false" ht="9.7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36" hidden="false" customHeight="tru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Format="false" ht="21.7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5" customFormat="false" ht="15" hidden="false" customHeight="true" outlineLevel="0" collapsed="false">
      <c r="B5" s="4" t="s">
        <v>2</v>
      </c>
      <c r="C5" s="4"/>
      <c r="E5" s="5" t="str">
        <f aca="false">'Analyst Mode'!C8</f>
        <v>[Carrier name]</v>
      </c>
      <c r="F5" s="5"/>
      <c r="G5" s="5"/>
      <c r="H5" s="5"/>
    </row>
    <row r="6" customFormat="false" ht="15" hidden="false" customHeight="true" outlineLevel="0" collapsed="false">
      <c r="B6" s="4" t="s">
        <v>3</v>
      </c>
      <c r="C6" s="4"/>
      <c r="E6" s="5" t="str">
        <f aca="false">'Analyst Mode'!C10</f>
        <v>Moderate</v>
      </c>
      <c r="F6" s="5"/>
      <c r="G6" s="5"/>
      <c r="H6" s="5"/>
    </row>
    <row r="7" customFormat="false" ht="15" hidden="false" customHeight="true" outlineLevel="0" collapsed="false">
      <c r="B7" s="4" t="s">
        <v>4</v>
      </c>
      <c r="C7" s="4"/>
      <c r="E7" s="5" t="str">
        <f aca="false">'Analyst Mode'!C9</f>
        <v>2026-04-22</v>
      </c>
      <c r="F7" s="5"/>
      <c r="G7" s="5"/>
      <c r="H7" s="5"/>
    </row>
    <row r="9" customFormat="false" ht="21.75" hidden="false" customHeight="true" outlineLevel="0" collapsed="false">
      <c r="B9" s="6" t="s">
        <v>5</v>
      </c>
      <c r="C9" s="6"/>
      <c r="D9" s="6"/>
      <c r="E9" s="6"/>
      <c r="F9" s="6"/>
      <c r="G9" s="6"/>
      <c r="H9" s="6"/>
      <c r="I9" s="6"/>
      <c r="J9" s="6"/>
    </row>
    <row r="11" customFormat="false" ht="26.85" hidden="false" customHeight="true" outlineLevel="0" collapsed="false">
      <c r="B11" s="7" t="s">
        <v>6</v>
      </c>
      <c r="C11" s="8" t="n">
        <v>1000000</v>
      </c>
      <c r="E11" s="9" t="s">
        <v>7</v>
      </c>
      <c r="F11" s="9"/>
      <c r="G11" s="9"/>
      <c r="H11" s="9"/>
      <c r="I11" s="9"/>
      <c r="J11" s="9"/>
    </row>
    <row r="12" customFormat="false" ht="26.85" hidden="false" customHeight="true" outlineLevel="0" collapsed="false">
      <c r="B12" s="7" t="s">
        <v>8</v>
      </c>
      <c r="C12" s="8" t="n">
        <v>17260</v>
      </c>
      <c r="E12" s="9" t="s">
        <v>9</v>
      </c>
      <c r="F12" s="9"/>
      <c r="G12" s="9"/>
      <c r="H12" s="9"/>
      <c r="I12" s="9"/>
      <c r="J12" s="9"/>
    </row>
    <row r="13" customFormat="false" ht="26.85" hidden="false" customHeight="true" outlineLevel="0" collapsed="false">
      <c r="B13" s="7" t="s">
        <v>10</v>
      </c>
      <c r="C13" s="10" t="n">
        <v>0.5</v>
      </c>
      <c r="E13" s="9" t="s">
        <v>11</v>
      </c>
      <c r="F13" s="9"/>
      <c r="G13" s="9"/>
      <c r="H13" s="9"/>
      <c r="I13" s="9"/>
      <c r="J13" s="9"/>
    </row>
    <row r="15" customFormat="false" ht="21.75" hidden="false" customHeight="true" outlineLevel="0" collapsed="false">
      <c r="B15" s="6" t="s">
        <v>12</v>
      </c>
      <c r="C15" s="6"/>
      <c r="D15" s="6"/>
      <c r="E15" s="6"/>
      <c r="F15" s="6"/>
      <c r="G15" s="6"/>
      <c r="H15" s="6"/>
      <c r="I15" s="6"/>
      <c r="J15" s="6"/>
    </row>
    <row r="17" customFormat="false" ht="21.75" hidden="false" customHeight="true" outlineLevel="0" collapsed="false">
      <c r="B17" s="11" t="s">
        <v>13</v>
      </c>
      <c r="C17" s="11"/>
      <c r="D17" s="11" t="s">
        <v>14</v>
      </c>
      <c r="E17" s="11"/>
      <c r="F17" s="11" t="s">
        <v>15</v>
      </c>
      <c r="G17" s="11"/>
      <c r="H17" s="11" t="s">
        <v>16</v>
      </c>
      <c r="I17" s="11"/>
      <c r="J17" s="12" t="s">
        <v>17</v>
      </c>
    </row>
    <row r="18" customFormat="false" ht="21.75" hidden="false" customHeight="true" outlineLevel="0" collapsed="false">
      <c r="B18" s="13" t="n">
        <f aca="false">'Analyst Mode'!C53</f>
        <v>324.7</v>
      </c>
      <c r="C18" s="13"/>
      <c r="D18" s="14" t="n">
        <f aca="false">'Analyst Mode'!C51</f>
        <v>737954.545454545</v>
      </c>
      <c r="E18" s="14"/>
      <c r="F18" s="15" t="n">
        <f aca="false">'Analyst Mode'!C52</f>
        <v>8.21555555555556</v>
      </c>
      <c r="G18" s="15"/>
      <c r="H18" s="16" t="n">
        <f aca="false">'Analyst Mode'!C44</f>
        <v>5</v>
      </c>
      <c r="I18" s="16"/>
      <c r="J18" s="17" t="n">
        <f aca="false">'Analyst Mode'!C28</f>
        <v>0.38243006993007</v>
      </c>
    </row>
    <row r="19" customFormat="false" ht="21.75" hidden="false" customHeight="true" outlineLevel="0" collapsed="false">
      <c r="B19" s="13"/>
      <c r="C19" s="13"/>
      <c r="D19" s="14"/>
      <c r="E19" s="14"/>
      <c r="F19" s="15"/>
      <c r="G19" s="15"/>
      <c r="H19" s="16"/>
      <c r="I19" s="16"/>
      <c r="J19" s="17"/>
    </row>
    <row r="20" customFormat="false" ht="21.75" hidden="false" customHeight="true" outlineLevel="0" collapsed="false">
      <c r="B20" s="13"/>
      <c r="C20" s="13"/>
      <c r="D20" s="14"/>
      <c r="E20" s="14"/>
      <c r="F20" s="15"/>
      <c r="G20" s="15"/>
      <c r="H20" s="16"/>
      <c r="I20" s="16"/>
      <c r="J20" s="17"/>
    </row>
    <row r="21" customFormat="false" ht="21.75" hidden="false" customHeight="true" outlineLevel="0" collapsed="false">
      <c r="B21" s="18" t="s">
        <v>18</v>
      </c>
      <c r="C21" s="18"/>
      <c r="D21" s="18" t="s">
        <v>19</v>
      </c>
      <c r="E21" s="18"/>
      <c r="F21" s="18" t="s">
        <v>20</v>
      </c>
      <c r="G21" s="18"/>
      <c r="H21" s="18" t="s">
        <v>21</v>
      </c>
      <c r="I21" s="18"/>
      <c r="J21" s="19" t="s">
        <v>22</v>
      </c>
    </row>
    <row r="23" customFormat="false" ht="21.75" hidden="false" customHeight="true" outlineLevel="0" collapsed="false">
      <c r="B23" s="6" t="s">
        <v>23</v>
      </c>
      <c r="C23" s="6"/>
      <c r="D23" s="6"/>
      <c r="E23" s="6"/>
      <c r="F23" s="6"/>
      <c r="G23" s="6"/>
      <c r="H23" s="6"/>
      <c r="I23" s="6"/>
      <c r="J23" s="6"/>
    </row>
    <row r="25" customFormat="false" ht="15" hidden="false" customHeight="true" outlineLevel="0" collapsed="false">
      <c r="B25" s="20" t="s">
        <v>24</v>
      </c>
      <c r="C25" s="20"/>
      <c r="D25" s="20"/>
      <c r="E25" s="21" t="s">
        <v>25</v>
      </c>
      <c r="F25" s="21"/>
      <c r="G25" s="21" t="s">
        <v>26</v>
      </c>
      <c r="H25" s="21"/>
      <c r="I25" s="20" t="s">
        <v>27</v>
      </c>
      <c r="J25" s="20"/>
    </row>
    <row r="26" customFormat="false" ht="15" hidden="false" customHeight="true" outlineLevel="0" collapsed="false">
      <c r="B26" s="22" t="s">
        <v>28</v>
      </c>
      <c r="C26" s="22"/>
      <c r="D26" s="22"/>
      <c r="E26" s="23" t="n">
        <f aca="false">'Analyst Mode'!C33</f>
        <v>784545.454545455</v>
      </c>
      <c r="F26" s="23"/>
      <c r="G26" s="24" t="n">
        <f aca="false">'Analyst Mode'!C33/('Analyst Mode'!C27+'Analyst Mode'!C33+'Analyst Mode'!C40)</f>
        <v>0.933730051393022</v>
      </c>
      <c r="H26" s="24"/>
      <c r="I26" s="25" t="s">
        <v>29</v>
      </c>
      <c r="J26" s="25"/>
    </row>
    <row r="27" customFormat="false" ht="15" hidden="false" customHeight="true" outlineLevel="0" collapsed="false">
      <c r="B27" s="22" t="s">
        <v>30</v>
      </c>
      <c r="C27" s="22"/>
      <c r="D27" s="22"/>
      <c r="E27" s="23" t="n">
        <f aca="false">'Analyst Mode'!C27</f>
        <v>38977.2727272727</v>
      </c>
      <c r="F27" s="23"/>
      <c r="G27" s="24" t="n">
        <f aca="false">'Analyst Mode'!C27/('Analyst Mode'!C27+'Analyst Mode'!C33+'Analyst Mode'!C40)</f>
        <v>0.046388964024885</v>
      </c>
      <c r="H27" s="24"/>
      <c r="I27" s="25" t="s">
        <v>31</v>
      </c>
      <c r="J27" s="25"/>
    </row>
    <row r="28" customFormat="false" ht="15" hidden="false" customHeight="true" outlineLevel="0" collapsed="false">
      <c r="B28" s="22" t="s">
        <v>32</v>
      </c>
      <c r="C28" s="22"/>
      <c r="D28" s="22"/>
      <c r="E28" s="23" t="n">
        <f aca="false">'Analyst Mode'!C40</f>
        <v>16704.5454545455</v>
      </c>
      <c r="F28" s="23"/>
      <c r="G28" s="24" t="n">
        <f aca="false">'Analyst Mode'!C40/('Analyst Mode'!C27+'Analyst Mode'!C33+'Analyst Mode'!C40)</f>
        <v>0.0198809845820936</v>
      </c>
      <c r="H28" s="24"/>
      <c r="I28" s="25" t="s">
        <v>33</v>
      </c>
      <c r="J28" s="25"/>
    </row>
    <row r="29" customFormat="false" ht="15" hidden="false" customHeight="true" outlineLevel="0" collapsed="false">
      <c r="B29" s="26" t="s">
        <v>34</v>
      </c>
      <c r="C29" s="26"/>
      <c r="D29" s="26"/>
      <c r="E29" s="27" t="n">
        <f aca="false">'Analyst Mode'!C49</f>
        <v>840227.272727273</v>
      </c>
      <c r="F29" s="27"/>
    </row>
    <row r="30" customFormat="false" ht="15" hidden="false" customHeight="true" outlineLevel="0" collapsed="false">
      <c r="B30" s="28" t="s">
        <v>35</v>
      </c>
      <c r="C30" s="28"/>
      <c r="D30" s="28"/>
      <c r="E30" s="23" t="n">
        <f aca="false">-'Analyst Mode'!C50</f>
        <v>-102272.727272727</v>
      </c>
      <c r="F30" s="23"/>
    </row>
    <row r="31" customFormat="false" ht="15" hidden="false" customHeight="true" outlineLevel="0" collapsed="false">
      <c r="B31" s="29" t="s">
        <v>36</v>
      </c>
      <c r="C31" s="29"/>
      <c r="D31" s="29"/>
      <c r="E31" s="30" t="n">
        <f aca="false">'Analyst Mode'!C51</f>
        <v>737954.545454545</v>
      </c>
      <c r="F31" s="30"/>
    </row>
    <row r="34" customFormat="false" ht="21.75" hidden="false" customHeight="true" outlineLevel="0" collapsed="false">
      <c r="B34" s="6" t="s">
        <v>37</v>
      </c>
      <c r="C34" s="6"/>
      <c r="D34" s="6"/>
      <c r="E34" s="6"/>
      <c r="F34" s="6"/>
      <c r="G34" s="6"/>
      <c r="H34" s="6"/>
      <c r="I34" s="6"/>
      <c r="J34" s="6"/>
    </row>
    <row r="35" customFormat="false" ht="21.75" hidden="false" customHeight="true" outlineLevel="0" collapsed="false">
      <c r="B35" s="31" t="s">
        <v>38</v>
      </c>
      <c r="C35" s="31"/>
      <c r="D35" s="31"/>
      <c r="E35" s="31"/>
      <c r="F35" s="31"/>
      <c r="G35" s="31"/>
      <c r="H35" s="31"/>
      <c r="I35" s="31"/>
      <c r="J35" s="31"/>
    </row>
    <row r="36" customFormat="false" ht="21.75" hidden="false" customHeight="true" outlineLevel="0" collapsed="false">
      <c r="B36" s="31"/>
      <c r="C36" s="31"/>
      <c r="D36" s="31"/>
      <c r="E36" s="31"/>
      <c r="F36" s="31"/>
      <c r="G36" s="31"/>
      <c r="H36" s="31"/>
      <c r="I36" s="31"/>
      <c r="J36" s="31"/>
    </row>
    <row r="37" customFormat="false" ht="21.75" hidden="false" customHeight="true" outlineLevel="0" collapsed="false">
      <c r="B37" s="31"/>
      <c r="C37" s="31"/>
      <c r="D37" s="31"/>
      <c r="E37" s="31"/>
      <c r="F37" s="31"/>
      <c r="G37" s="31"/>
      <c r="H37" s="31"/>
      <c r="I37" s="31"/>
      <c r="J37" s="31"/>
    </row>
    <row r="39" customFormat="false" ht="15" hidden="false" customHeight="true" outlineLevel="0" collapsed="false">
      <c r="B39" s="32" t="s">
        <v>39</v>
      </c>
      <c r="C39" s="32"/>
      <c r="D39" s="32"/>
      <c r="E39" s="32"/>
      <c r="F39" s="32"/>
      <c r="G39" s="32"/>
      <c r="H39" s="32"/>
      <c r="I39" s="32"/>
      <c r="J39" s="32"/>
    </row>
  </sheetData>
  <mergeCells count="53">
    <mergeCell ref="A1:L1"/>
    <mergeCell ref="A2:L2"/>
    <mergeCell ref="A3:L3"/>
    <mergeCell ref="B5:C5"/>
    <mergeCell ref="E5:H5"/>
    <mergeCell ref="B6:C6"/>
    <mergeCell ref="E6:H6"/>
    <mergeCell ref="B7:C7"/>
    <mergeCell ref="E7:H7"/>
    <mergeCell ref="B9:J9"/>
    <mergeCell ref="E11:J11"/>
    <mergeCell ref="E12:J12"/>
    <mergeCell ref="E13:J13"/>
    <mergeCell ref="B15:J15"/>
    <mergeCell ref="B17:C17"/>
    <mergeCell ref="D17:E17"/>
    <mergeCell ref="F17:G17"/>
    <mergeCell ref="H17:I17"/>
    <mergeCell ref="B18:C20"/>
    <mergeCell ref="D18:E20"/>
    <mergeCell ref="F18:G20"/>
    <mergeCell ref="H18:I20"/>
    <mergeCell ref="J18:J20"/>
    <mergeCell ref="B21:C21"/>
    <mergeCell ref="D21:E21"/>
    <mergeCell ref="F21:G21"/>
    <mergeCell ref="H21:I21"/>
    <mergeCell ref="B23:J23"/>
    <mergeCell ref="B25:D25"/>
    <mergeCell ref="E25:F25"/>
    <mergeCell ref="G25:H25"/>
    <mergeCell ref="I25:J25"/>
    <mergeCell ref="B26:D26"/>
    <mergeCell ref="E26:F26"/>
    <mergeCell ref="G26:H26"/>
    <mergeCell ref="I26:J26"/>
    <mergeCell ref="B27:D27"/>
    <mergeCell ref="E27:F27"/>
    <mergeCell ref="G27:H27"/>
    <mergeCell ref="I27:J27"/>
    <mergeCell ref="B28:D28"/>
    <mergeCell ref="E28:F28"/>
    <mergeCell ref="G28:H28"/>
    <mergeCell ref="I28:J28"/>
    <mergeCell ref="B29:D29"/>
    <mergeCell ref="E29:F29"/>
    <mergeCell ref="B30:D30"/>
    <mergeCell ref="E30:F30"/>
    <mergeCell ref="B31:D31"/>
    <mergeCell ref="E31:F31"/>
    <mergeCell ref="B34:J34"/>
    <mergeCell ref="B35:J37"/>
    <mergeCell ref="B39:J39"/>
  </mergeCells>
  <printOptions headings="false" gridLines="false" gridLinesSet="true" horizontalCentered="true" verticalCentered="false"/>
  <pageMargins left="0.4" right="0.4" top="0.4" bottom="0.4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42"/>
    <col collapsed="false" customWidth="true" hidden="false" outlineLevel="0" max="3" min="3" style="0" width="18"/>
    <col collapsed="false" customWidth="true" hidden="false" outlineLevel="0" max="4" min="4" style="0" width="16"/>
    <col collapsed="false" customWidth="true" hidden="false" outlineLevel="0" max="5" min="5" style="0" width="60"/>
    <col collapsed="false" customWidth="true" hidden="false" outlineLevel="0" max="6" min="6" style="0" width="3"/>
  </cols>
  <sheetData>
    <row r="1" customFormat="false" ht="9.7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36" hidden="false" customHeight="true" outlineLevel="0" collapsed="false">
      <c r="A2" s="2" t="s">
        <v>40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Format="false" ht="21.75" hidden="false" customHeight="true" outlineLevel="0" collapsed="false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5" customFormat="false" ht="15" hidden="false" customHeight="false" outlineLevel="0" collapsed="false">
      <c r="B5" s="33" t="s">
        <v>42</v>
      </c>
      <c r="C5" s="34" t="s">
        <v>43</v>
      </c>
      <c r="D5" s="35" t="s">
        <v>44</v>
      </c>
      <c r="E5" s="36" t="s">
        <v>45</v>
      </c>
    </row>
    <row r="7" customFormat="false" ht="21.75" hidden="false" customHeight="true" outlineLevel="0" collapsed="false">
      <c r="B7" s="6" t="s">
        <v>46</v>
      </c>
      <c r="C7" s="6"/>
      <c r="D7" s="6"/>
      <c r="E7" s="6"/>
    </row>
    <row r="8" customFormat="false" ht="15" hidden="false" customHeight="false" outlineLevel="0" collapsed="false">
      <c r="B8" s="37" t="s">
        <v>47</v>
      </c>
      <c r="C8" s="38" t="s">
        <v>48</v>
      </c>
      <c r="D8" s="38"/>
    </row>
    <row r="9" customFormat="false" ht="15" hidden="false" customHeight="false" outlineLevel="0" collapsed="false">
      <c r="B9" s="37" t="s">
        <v>49</v>
      </c>
      <c r="C9" s="38" t="s">
        <v>50</v>
      </c>
      <c r="D9" s="38"/>
    </row>
    <row r="10" customFormat="false" ht="15" hidden="false" customHeight="false" outlineLevel="0" collapsed="false">
      <c r="B10" s="37" t="s">
        <v>51</v>
      </c>
      <c r="C10" s="38" t="s">
        <v>52</v>
      </c>
      <c r="D10" s="38"/>
    </row>
    <row r="11" customFormat="false" ht="15" hidden="false" customHeight="false" outlineLevel="0" collapsed="false">
      <c r="B11" s="37" t="s">
        <v>53</v>
      </c>
      <c r="C11" s="38" t="s">
        <v>54</v>
      </c>
      <c r="D11" s="38"/>
    </row>
    <row r="13" customFormat="false" ht="21.75" hidden="false" customHeight="true" outlineLevel="0" collapsed="false">
      <c r="B13" s="6" t="s">
        <v>55</v>
      </c>
      <c r="C13" s="6"/>
      <c r="D13" s="6"/>
      <c r="E13" s="6"/>
    </row>
    <row r="14" customFormat="false" ht="22.35" hidden="false" customHeight="false" outlineLevel="0" collapsed="false">
      <c r="B14" s="37" t="s">
        <v>56</v>
      </c>
      <c r="C14" s="39" t="n">
        <f aca="false">Cockpit!C11</f>
        <v>1000000</v>
      </c>
      <c r="D14" s="39"/>
      <c r="E14" s="40" t="s">
        <v>57</v>
      </c>
    </row>
    <row r="15" customFormat="false" ht="15" hidden="false" customHeight="false" outlineLevel="0" collapsed="false">
      <c r="B15" s="37" t="s">
        <v>58</v>
      </c>
      <c r="C15" s="8" t="n">
        <v>220</v>
      </c>
      <c r="D15" s="8"/>
      <c r="E15" s="40" t="s">
        <v>59</v>
      </c>
    </row>
    <row r="16" customFormat="false" ht="15" hidden="false" customHeight="false" outlineLevel="0" collapsed="false">
      <c r="B16" s="37" t="s">
        <v>60</v>
      </c>
      <c r="C16" s="41" t="n">
        <f aca="false">C14/C15</f>
        <v>4545.45454545455</v>
      </c>
      <c r="D16" s="41"/>
      <c r="E16" s="40" t="s">
        <v>61</v>
      </c>
    </row>
    <row r="17" customFormat="false" ht="23.85" hidden="false" customHeight="false" outlineLevel="0" collapsed="false">
      <c r="B17" s="37" t="s">
        <v>62</v>
      </c>
      <c r="C17" s="42" t="n">
        <f aca="false">Cockpit!C13</f>
        <v>0.5</v>
      </c>
      <c r="D17" s="42"/>
      <c r="E17" s="40" t="s">
        <v>63</v>
      </c>
    </row>
    <row r="18" customFormat="false" ht="15" hidden="false" customHeight="false" outlineLevel="0" collapsed="false">
      <c r="B18" s="37" t="s">
        <v>64</v>
      </c>
      <c r="C18" s="41" t="n">
        <f aca="false">C16*C17</f>
        <v>2272.72727272727</v>
      </c>
      <c r="D18" s="41"/>
      <c r="E18" s="40" t="s">
        <v>65</v>
      </c>
    </row>
    <row r="19" customFormat="false" ht="15" hidden="false" customHeight="false" outlineLevel="0" collapsed="false">
      <c r="B19" s="37" t="s">
        <v>66</v>
      </c>
      <c r="C19" s="8" t="n">
        <v>45</v>
      </c>
      <c r="D19" s="8"/>
      <c r="E19" s="40" t="s">
        <v>67</v>
      </c>
    </row>
    <row r="20" customFormat="false" ht="15" hidden="false" customHeight="false" outlineLevel="0" collapsed="false">
      <c r="B20" s="37" t="s">
        <v>68</v>
      </c>
      <c r="C20" s="43" t="n">
        <f aca="false">C18*C19</f>
        <v>102272.727272727</v>
      </c>
      <c r="D20" s="43"/>
      <c r="E20" s="40" t="s">
        <v>69</v>
      </c>
    </row>
    <row r="22" customFormat="false" ht="21.75" hidden="false" customHeight="true" outlineLevel="0" collapsed="false">
      <c r="B22" s="6" t="s">
        <v>70</v>
      </c>
      <c r="C22" s="6"/>
      <c r="D22" s="6"/>
      <c r="E22" s="6"/>
    </row>
    <row r="23" customFormat="false" ht="22.35" hidden="false" customHeight="false" outlineLevel="0" collapsed="false">
      <c r="B23" s="37" t="s">
        <v>71</v>
      </c>
      <c r="C23" s="44" t="n">
        <v>25</v>
      </c>
      <c r="D23" s="44"/>
      <c r="E23" s="40" t="s">
        <v>72</v>
      </c>
    </row>
    <row r="24" customFormat="false" ht="23.85" hidden="false" customHeight="false" outlineLevel="0" collapsed="false">
      <c r="B24" s="37" t="s">
        <v>73</v>
      </c>
      <c r="C24" s="44" t="n">
        <v>4</v>
      </c>
      <c r="D24" s="44"/>
      <c r="E24" s="40" t="s">
        <v>74</v>
      </c>
    </row>
    <row r="25" customFormat="false" ht="15" hidden="false" customHeight="false" outlineLevel="0" collapsed="false">
      <c r="B25" s="37" t="s">
        <v>75</v>
      </c>
      <c r="C25" s="45" t="n">
        <f aca="false">C23-C24</f>
        <v>21</v>
      </c>
      <c r="D25" s="45"/>
    </row>
    <row r="26" customFormat="false" ht="43.25" hidden="false" customHeight="false" outlineLevel="0" collapsed="false">
      <c r="B26" s="37" t="s">
        <v>76</v>
      </c>
      <c r="C26" s="8" t="n">
        <v>49</v>
      </c>
      <c r="D26" s="8"/>
      <c r="E26" s="40" t="s">
        <v>77</v>
      </c>
    </row>
    <row r="27" customFormat="false" ht="15" hidden="false" customHeight="false" outlineLevel="0" collapsed="false">
      <c r="B27" s="37" t="s">
        <v>78</v>
      </c>
      <c r="C27" s="43" t="n">
        <f aca="false">C18*(C25/60)*C26</f>
        <v>38977.2727272727</v>
      </c>
      <c r="D27" s="43"/>
      <c r="E27" s="40" t="s">
        <v>79</v>
      </c>
    </row>
    <row r="28" customFormat="false" ht="22.35" hidden="false" customHeight="false" outlineLevel="0" collapsed="false">
      <c r="B28" s="37" t="s">
        <v>80</v>
      </c>
      <c r="C28" s="46" t="n">
        <f aca="false">(C18*C25)/60/2080</f>
        <v>0.38243006993007</v>
      </c>
      <c r="D28" s="46"/>
      <c r="E28" s="40" t="s">
        <v>81</v>
      </c>
    </row>
    <row r="30" customFormat="false" ht="21.75" hidden="false" customHeight="true" outlineLevel="0" collapsed="false">
      <c r="B30" s="6" t="s">
        <v>82</v>
      </c>
      <c r="C30" s="6"/>
      <c r="D30" s="6"/>
      <c r="E30" s="6"/>
    </row>
    <row r="31" customFormat="false" ht="32.8" hidden="false" customHeight="false" outlineLevel="0" collapsed="false">
      <c r="B31" s="37" t="s">
        <v>83</v>
      </c>
      <c r="C31" s="39" t="n">
        <f aca="false">Cockpit!C12</f>
        <v>17260</v>
      </c>
      <c r="D31" s="39"/>
      <c r="E31" s="40" t="s">
        <v>84</v>
      </c>
    </row>
    <row r="32" customFormat="false" ht="32.8" hidden="false" customHeight="false" outlineLevel="0" collapsed="false">
      <c r="B32" s="37" t="s">
        <v>85</v>
      </c>
      <c r="C32" s="10" t="n">
        <v>0.02</v>
      </c>
      <c r="D32" s="10"/>
      <c r="E32" s="40" t="s">
        <v>86</v>
      </c>
    </row>
    <row r="33" customFormat="false" ht="15" hidden="false" customHeight="false" outlineLevel="0" collapsed="false">
      <c r="B33" s="37" t="s">
        <v>87</v>
      </c>
      <c r="C33" s="43" t="n">
        <f aca="false">C18*C31*C32</f>
        <v>784545.454545455</v>
      </c>
      <c r="D33" s="43"/>
      <c r="E33" s="40" t="s">
        <v>88</v>
      </c>
    </row>
    <row r="35" customFormat="false" ht="21.75" hidden="false" customHeight="true" outlineLevel="0" collapsed="false">
      <c r="B35" s="6" t="s">
        <v>89</v>
      </c>
      <c r="C35" s="6"/>
      <c r="D35" s="6"/>
      <c r="E35" s="6"/>
    </row>
    <row r="36" customFormat="false" ht="25.5" hidden="false" customHeight="true" outlineLevel="0" collapsed="false">
      <c r="B36" s="47" t="s">
        <v>90</v>
      </c>
      <c r="C36" s="47"/>
      <c r="D36" s="47"/>
      <c r="E36" s="47"/>
    </row>
    <row r="37" customFormat="false" ht="22.35" hidden="false" customHeight="false" outlineLevel="0" collapsed="false">
      <c r="B37" s="37" t="s">
        <v>91</v>
      </c>
      <c r="C37" s="10" t="n">
        <v>0.5</v>
      </c>
      <c r="D37" s="10"/>
      <c r="E37" s="40" t="s">
        <v>92</v>
      </c>
    </row>
    <row r="38" customFormat="false" ht="22.35" hidden="false" customHeight="false" outlineLevel="0" collapsed="false">
      <c r="B38" s="37" t="s">
        <v>93</v>
      </c>
      <c r="C38" s="10" t="n">
        <v>0.2</v>
      </c>
      <c r="D38" s="10"/>
      <c r="E38" s="40" t="s">
        <v>94</v>
      </c>
    </row>
    <row r="39" customFormat="false" ht="15" hidden="false" customHeight="false" outlineLevel="0" collapsed="false">
      <c r="B39" s="37" t="s">
        <v>95</v>
      </c>
      <c r="C39" s="48" t="n">
        <v>1.5</v>
      </c>
      <c r="D39" s="48"/>
      <c r="E39" s="40" t="s">
        <v>96</v>
      </c>
    </row>
    <row r="40" customFormat="false" ht="15" hidden="false" customHeight="false" outlineLevel="0" collapsed="false">
      <c r="B40" s="37" t="s">
        <v>97</v>
      </c>
      <c r="C40" s="43" t="n">
        <f aca="false">C18*C37*C38*C39*C26</f>
        <v>16704.5454545455</v>
      </c>
      <c r="D40" s="43"/>
      <c r="E40" s="40" t="s">
        <v>98</v>
      </c>
    </row>
    <row r="42" customFormat="false" ht="21.75" hidden="false" customHeight="true" outlineLevel="0" collapsed="false">
      <c r="B42" s="6" t="s">
        <v>99</v>
      </c>
      <c r="C42" s="6"/>
      <c r="D42" s="6"/>
      <c r="E42" s="6"/>
    </row>
    <row r="43" customFormat="false" ht="43.25" hidden="false" customHeight="false" outlineLevel="0" collapsed="false">
      <c r="B43" s="37" t="s">
        <v>100</v>
      </c>
      <c r="C43" s="44" t="n">
        <v>44</v>
      </c>
      <c r="D43" s="44"/>
      <c r="E43" s="40" t="s">
        <v>101</v>
      </c>
    </row>
    <row r="44" customFormat="false" ht="22.35" hidden="false" customHeight="false" outlineLevel="0" collapsed="false">
      <c r="B44" s="37" t="s">
        <v>102</v>
      </c>
      <c r="C44" s="44" t="n">
        <v>5</v>
      </c>
      <c r="D44" s="44"/>
      <c r="E44" s="40" t="s">
        <v>103</v>
      </c>
    </row>
    <row r="45" customFormat="false" ht="22.35" hidden="false" customHeight="true" outlineLevel="0" collapsed="false">
      <c r="B45" s="37" t="s">
        <v>104</v>
      </c>
      <c r="C45" s="49" t="s">
        <v>105</v>
      </c>
      <c r="D45" s="49"/>
      <c r="E45" s="40" t="s">
        <v>106</v>
      </c>
    </row>
    <row r="46" customFormat="false" ht="15" hidden="false" customHeight="true" outlineLevel="0" collapsed="false">
      <c r="B46" s="37" t="s">
        <v>107</v>
      </c>
      <c r="C46" s="49" t="s">
        <v>108</v>
      </c>
      <c r="D46" s="49"/>
      <c r="E46" s="40" t="s">
        <v>109</v>
      </c>
    </row>
    <row r="48" customFormat="false" ht="21.75" hidden="false" customHeight="true" outlineLevel="0" collapsed="false">
      <c r="B48" s="6" t="s">
        <v>110</v>
      </c>
      <c r="C48" s="6"/>
      <c r="D48" s="6"/>
      <c r="E48" s="6"/>
    </row>
    <row r="49" customFormat="false" ht="15" hidden="false" customHeight="false" outlineLevel="0" collapsed="false">
      <c r="B49" s="33" t="s">
        <v>34</v>
      </c>
      <c r="C49" s="50" t="n">
        <f aca="false">C27+C33+C40</f>
        <v>840227.272727273</v>
      </c>
      <c r="D49" s="50"/>
    </row>
    <row r="50" customFormat="false" ht="15" hidden="false" customHeight="false" outlineLevel="0" collapsed="false">
      <c r="B50" s="33" t="s">
        <v>111</v>
      </c>
      <c r="C50" s="51" t="n">
        <f aca="false">C20</f>
        <v>102272.727272727</v>
      </c>
      <c r="D50" s="51"/>
    </row>
    <row r="51" customFormat="false" ht="15" hidden="false" customHeight="false" outlineLevel="0" collapsed="false">
      <c r="B51" s="33" t="s">
        <v>36</v>
      </c>
      <c r="C51" s="50" t="n">
        <f aca="false">C49-C50</f>
        <v>737954.545454545</v>
      </c>
      <c r="D51" s="50"/>
    </row>
    <row r="52" customFormat="false" ht="15" hidden="false" customHeight="false" outlineLevel="0" collapsed="false">
      <c r="B52" s="33" t="s">
        <v>112</v>
      </c>
      <c r="C52" s="52" t="n">
        <f aca="false">C49/C50</f>
        <v>8.21555555555556</v>
      </c>
      <c r="D52" s="52"/>
    </row>
    <row r="53" customFormat="false" ht="15" hidden="false" customHeight="false" outlineLevel="0" collapsed="false">
      <c r="B53" s="33" t="s">
        <v>113</v>
      </c>
      <c r="C53" s="50" t="n">
        <f aca="false">IF(C18&gt;0,C51/C18,0)</f>
        <v>324.7</v>
      </c>
      <c r="D53" s="50"/>
    </row>
    <row r="55" customFormat="false" ht="15" hidden="false" customHeight="true" outlineLevel="0" collapsed="false">
      <c r="B55" s="32" t="s">
        <v>114</v>
      </c>
      <c r="C55" s="32"/>
      <c r="D55" s="32"/>
      <c r="E55" s="32"/>
    </row>
  </sheetData>
  <mergeCells count="45">
    <mergeCell ref="A1:L1"/>
    <mergeCell ref="A2:L2"/>
    <mergeCell ref="A3:L3"/>
    <mergeCell ref="B7:E7"/>
    <mergeCell ref="C8:D8"/>
    <mergeCell ref="C9:D9"/>
    <mergeCell ref="C10:D10"/>
    <mergeCell ref="C11:D11"/>
    <mergeCell ref="B13:E13"/>
    <mergeCell ref="C14:D14"/>
    <mergeCell ref="C15:D15"/>
    <mergeCell ref="C16:D16"/>
    <mergeCell ref="C17:D17"/>
    <mergeCell ref="C18:D18"/>
    <mergeCell ref="C19:D19"/>
    <mergeCell ref="C20:D20"/>
    <mergeCell ref="B22:E22"/>
    <mergeCell ref="C23:D23"/>
    <mergeCell ref="C24:D24"/>
    <mergeCell ref="C25:D25"/>
    <mergeCell ref="C26:D26"/>
    <mergeCell ref="C27:D27"/>
    <mergeCell ref="C28:D28"/>
    <mergeCell ref="B30:E30"/>
    <mergeCell ref="C31:D31"/>
    <mergeCell ref="C32:D32"/>
    <mergeCell ref="C33:D33"/>
    <mergeCell ref="B35:E35"/>
    <mergeCell ref="B36:E36"/>
    <mergeCell ref="C37:D37"/>
    <mergeCell ref="C38:D38"/>
    <mergeCell ref="C39:D39"/>
    <mergeCell ref="C40:D40"/>
    <mergeCell ref="B42:E42"/>
    <mergeCell ref="C43:D43"/>
    <mergeCell ref="C44:D44"/>
    <mergeCell ref="C45:D45"/>
    <mergeCell ref="C46:D46"/>
    <mergeCell ref="B48:E48"/>
    <mergeCell ref="C49:D49"/>
    <mergeCell ref="C50:D50"/>
    <mergeCell ref="C51:D51"/>
    <mergeCell ref="C52:D52"/>
    <mergeCell ref="C53:D53"/>
    <mergeCell ref="B55:E55"/>
  </mergeCells>
  <printOptions headings="false" gridLines="false" gridLinesSet="true" horizontalCentered="true" verticalCentered="false"/>
  <pageMargins left="0.4" right="0.4" top="0.4" bottom="0.4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0"/>
    <col collapsed="false" customWidth="true" hidden="false" outlineLevel="0" max="8" min="3" style="0" width="15"/>
    <col collapsed="false" customWidth="true" hidden="false" outlineLevel="0" max="12" min="9" style="0" width="2"/>
  </cols>
  <sheetData>
    <row r="1" customFormat="false" ht="9.7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36" hidden="false" customHeight="true" outlineLevel="0" collapsed="false">
      <c r="A2" s="2" t="s">
        <v>115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Format="false" ht="21.75" hidden="false" customHeight="true" outlineLevel="0" collapsed="false">
      <c r="A3" s="3" t="s">
        <v>116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5" customFormat="false" ht="21.75" hidden="false" customHeight="true" outlineLevel="0" collapsed="false">
      <c r="B5" s="6" t="s">
        <v>117</v>
      </c>
      <c r="C5" s="6"/>
      <c r="D5" s="6"/>
      <c r="E5" s="6"/>
      <c r="F5" s="6"/>
      <c r="G5" s="6"/>
      <c r="H5" s="6"/>
      <c r="I5" s="6"/>
      <c r="J5" s="6"/>
      <c r="K5" s="6"/>
      <c r="L5" s="6"/>
    </row>
    <row r="7" customFormat="false" ht="26.85" hidden="false" customHeight="false" outlineLevel="0" collapsed="false">
      <c r="B7" s="53" t="s">
        <v>118</v>
      </c>
      <c r="C7" s="54" t="s">
        <v>119</v>
      </c>
      <c r="D7" s="54" t="s">
        <v>120</v>
      </c>
      <c r="E7" s="54" t="s">
        <v>121</v>
      </c>
    </row>
    <row r="8" customFormat="false" ht="15" hidden="false" customHeight="false" outlineLevel="0" collapsed="false">
      <c r="B8" s="55" t="s">
        <v>122</v>
      </c>
      <c r="C8" s="56" t="n">
        <v>0.25</v>
      </c>
      <c r="D8" s="56" t="n">
        <v>0.5</v>
      </c>
      <c r="E8" s="56" t="n">
        <v>0.75</v>
      </c>
    </row>
    <row r="9" customFormat="false" ht="15" hidden="false" customHeight="false" outlineLevel="0" collapsed="false">
      <c r="B9" s="55" t="s">
        <v>123</v>
      </c>
      <c r="C9" s="57" t="n">
        <f aca="false">(Cockpit!C11/'Analyst Mode'!C15)*0.25</f>
        <v>1136.36363636364</v>
      </c>
      <c r="D9" s="57" t="n">
        <f aca="false">(Cockpit!C11/'Analyst Mode'!C15)*0.5</f>
        <v>2272.72727272727</v>
      </c>
      <c r="E9" s="57" t="n">
        <f aca="false">(Cockpit!C11/'Analyst Mode'!C15)*0.75</f>
        <v>3409.09090909091</v>
      </c>
    </row>
    <row r="10" customFormat="false" ht="15" hidden="false" customHeight="false" outlineLevel="0" collapsed="false">
      <c r="B10" s="55" t="s">
        <v>124</v>
      </c>
      <c r="C10" s="58" t="n">
        <f aca="false">(Cockpit!C11/'Analyst Mode'!C15)*0.25*'Analyst Mode'!C19</f>
        <v>51136.3636363636</v>
      </c>
      <c r="D10" s="58" t="n">
        <f aca="false">(Cockpit!C11/'Analyst Mode'!C15)*0.5*'Analyst Mode'!C19</f>
        <v>102272.727272727</v>
      </c>
      <c r="E10" s="58" t="n">
        <f aca="false">(Cockpit!C11/'Analyst Mode'!C15)*0.75*'Analyst Mode'!C19</f>
        <v>153409.090909091</v>
      </c>
    </row>
    <row r="11" customFormat="false" ht="15" hidden="false" customHeight="false" outlineLevel="0" collapsed="false">
      <c r="B11" s="55" t="s">
        <v>125</v>
      </c>
      <c r="C11" s="58" t="n">
        <f aca="false">(Cockpit!C11/'Analyst Mode'!C15)*0.25*('Analyst Mode'!C23-'Analyst Mode'!C24)/60*'Analyst Mode'!C26</f>
        <v>19488.6363636364</v>
      </c>
      <c r="D11" s="58" t="n">
        <f aca="false">(Cockpit!C11/'Analyst Mode'!C15)*0.5*('Analyst Mode'!C23-'Analyst Mode'!C24)/60*'Analyst Mode'!C26</f>
        <v>38977.2727272727</v>
      </c>
      <c r="E11" s="58" t="n">
        <f aca="false">(Cockpit!C11/'Analyst Mode'!C15)*0.75*('Analyst Mode'!C23-'Analyst Mode'!C24)/60*'Analyst Mode'!C26</f>
        <v>58465.9090909091</v>
      </c>
    </row>
    <row r="12" customFormat="false" ht="15" hidden="false" customHeight="false" outlineLevel="0" collapsed="false">
      <c r="B12" s="55" t="s">
        <v>126</v>
      </c>
      <c r="C12" s="58" t="n">
        <f aca="false">(Cockpit!C11/'Analyst Mode'!C15)*0.25*Cockpit!C12*'Analyst Mode'!C32</f>
        <v>392272.727272727</v>
      </c>
      <c r="D12" s="58" t="n">
        <f aca="false">(Cockpit!C11/'Analyst Mode'!C15)*0.5*Cockpit!C12*'Analyst Mode'!C32</f>
        <v>784545.454545455</v>
      </c>
      <c r="E12" s="58" t="n">
        <f aca="false">(Cockpit!C11/'Analyst Mode'!C15)*0.75*Cockpit!C12*'Analyst Mode'!C32</f>
        <v>1176818.18181818</v>
      </c>
    </row>
    <row r="13" customFormat="false" ht="15" hidden="false" customHeight="false" outlineLevel="0" collapsed="false">
      <c r="B13" s="55" t="s">
        <v>127</v>
      </c>
      <c r="C13" s="58" t="n">
        <f aca="false">(Cockpit!C11/'Analyst Mode'!C15)*0.25*'Analyst Mode'!C37*'Analyst Mode'!C38*'Analyst Mode'!C39*'Analyst Mode'!C26</f>
        <v>8352.27272727273</v>
      </c>
      <c r="D13" s="58" t="n">
        <f aca="false">(Cockpit!C11/'Analyst Mode'!C15)*0.5*'Analyst Mode'!C37*'Analyst Mode'!C38*'Analyst Mode'!C39*'Analyst Mode'!C26</f>
        <v>16704.5454545455</v>
      </c>
      <c r="E13" s="58" t="n">
        <f aca="false">(Cockpit!C11/'Analyst Mode'!C15)*0.75*'Analyst Mode'!C37*'Analyst Mode'!C38*'Analyst Mode'!C39*'Analyst Mode'!C26</f>
        <v>25056.8181818182</v>
      </c>
    </row>
    <row r="14" customFormat="false" ht="15" hidden="false" customHeight="false" outlineLevel="0" collapsed="false">
      <c r="B14" s="59" t="s">
        <v>34</v>
      </c>
      <c r="C14" s="60" t="n">
        <f aca="false">SUM(C11:C13)</f>
        <v>420113.636363636</v>
      </c>
      <c r="D14" s="60" t="n">
        <f aca="false">SUM(D11:D13)</f>
        <v>840227.272727273</v>
      </c>
      <c r="E14" s="60" t="n">
        <f aca="false">SUM(E11:E13)</f>
        <v>1260340.90909091</v>
      </c>
    </row>
    <row r="15" customFormat="false" ht="15" hidden="false" customHeight="false" outlineLevel="0" collapsed="false">
      <c r="B15" s="59" t="s">
        <v>36</v>
      </c>
      <c r="C15" s="60" t="n">
        <f aca="false">C14-C10</f>
        <v>368977.272727273</v>
      </c>
      <c r="D15" s="60" t="n">
        <f aca="false">D14-D10</f>
        <v>737954.545454545</v>
      </c>
      <c r="E15" s="60" t="n">
        <f aca="false">E14-E10</f>
        <v>1106931.81818182</v>
      </c>
    </row>
    <row r="16" customFormat="false" ht="15" hidden="false" customHeight="false" outlineLevel="0" collapsed="false">
      <c r="B16" s="59" t="s">
        <v>112</v>
      </c>
      <c r="C16" s="61" t="n">
        <f aca="false">C14/C10</f>
        <v>8.21555555555556</v>
      </c>
      <c r="D16" s="61" t="n">
        <f aca="false">D14/D10</f>
        <v>8.21555555555556</v>
      </c>
      <c r="E16" s="61" t="n">
        <f aca="false">E14/E10</f>
        <v>8.21555555555555</v>
      </c>
    </row>
    <row r="17" customFormat="false" ht="15" hidden="false" customHeight="false" outlineLevel="0" collapsed="false">
      <c r="B17" s="59" t="s">
        <v>113</v>
      </c>
      <c r="C17" s="62" t="n">
        <f aca="false">IF(C9&gt;0,C15/C9,0)</f>
        <v>324.7</v>
      </c>
      <c r="D17" s="62" t="n">
        <f aca="false">IF(D9&gt;0,D15/D9,0)</f>
        <v>324.7</v>
      </c>
      <c r="E17" s="62" t="n">
        <f aca="false">IF(E9&gt;0,E15/E9,0)</f>
        <v>324.7</v>
      </c>
    </row>
    <row r="18" customFormat="false" ht="36" hidden="false" customHeight="true" outlineLevel="0" collapsed="false">
      <c r="B18" s="25" t="s">
        <v>128</v>
      </c>
      <c r="C18" s="25"/>
      <c r="D18" s="25"/>
      <c r="E18" s="25"/>
    </row>
    <row r="20" customFormat="false" ht="21.75" hidden="false" customHeight="true" outlineLevel="0" collapsed="false">
      <c r="B20" s="6" t="s">
        <v>129</v>
      </c>
      <c r="C20" s="6"/>
      <c r="D20" s="6"/>
      <c r="E20" s="6"/>
      <c r="F20" s="6"/>
      <c r="G20" s="6"/>
      <c r="H20" s="6"/>
      <c r="I20" s="6"/>
      <c r="J20" s="6"/>
      <c r="K20" s="6"/>
      <c r="L20" s="6"/>
    </row>
    <row r="22" customFormat="false" ht="15" hidden="false" customHeight="true" outlineLevel="0" collapsed="false">
      <c r="B22" s="25" t="s">
        <v>130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</row>
    <row r="24" customFormat="false" ht="23.85" hidden="false" customHeight="false" outlineLevel="0" collapsed="false">
      <c r="B24" s="63" t="s">
        <v>131</v>
      </c>
      <c r="C24" s="54" t="s">
        <v>132</v>
      </c>
      <c r="D24" s="54" t="s">
        <v>133</v>
      </c>
      <c r="E24" s="54" t="s">
        <v>134</v>
      </c>
      <c r="F24" s="54" t="s">
        <v>135</v>
      </c>
      <c r="G24" s="54" t="s">
        <v>136</v>
      </c>
    </row>
    <row r="25" customFormat="false" ht="15" hidden="false" customHeight="false" outlineLevel="0" collapsed="false">
      <c r="B25" s="64" t="s">
        <v>137</v>
      </c>
      <c r="C25" s="58" t="n">
        <f aca="false">1000*0.1*((('Analyst Mode'!$C$23-'Analyst Mode'!$C$24)/60*'Analyst Mode'!$C$26) + (Cockpit!$C$12*'Analyst Mode'!$C$32) + ('Analyst Mode'!$C$37*'Analyst Mode'!$C$38*'Analyst Mode'!$C$39*'Analyst Mode'!$C$26) - 'Analyst Mode'!$C$19)</f>
        <v>32470</v>
      </c>
      <c r="D25" s="58" t="n">
        <f aca="false">1000*0.25*((('Analyst Mode'!$C$23-'Analyst Mode'!$C$24)/60*'Analyst Mode'!$C$26) + (Cockpit!$C$12*'Analyst Mode'!$C$32) + ('Analyst Mode'!$C$37*'Analyst Mode'!$C$38*'Analyst Mode'!$C$39*'Analyst Mode'!$C$26) - 'Analyst Mode'!$C$19)</f>
        <v>81175</v>
      </c>
      <c r="E25" s="58" t="n">
        <f aca="false">1000*0.5*((('Analyst Mode'!$C$23-'Analyst Mode'!$C$24)/60*'Analyst Mode'!$C$26) + (Cockpit!$C$12*'Analyst Mode'!$C$32) + ('Analyst Mode'!$C$37*'Analyst Mode'!$C$38*'Analyst Mode'!$C$39*'Analyst Mode'!$C$26) - 'Analyst Mode'!$C$19)</f>
        <v>162350</v>
      </c>
      <c r="F25" s="58" t="n">
        <f aca="false">1000*0.75*((('Analyst Mode'!$C$23-'Analyst Mode'!$C$24)/60*'Analyst Mode'!$C$26) + (Cockpit!$C$12*'Analyst Mode'!$C$32) + ('Analyst Mode'!$C$37*'Analyst Mode'!$C$38*'Analyst Mode'!$C$39*'Analyst Mode'!$C$26) - 'Analyst Mode'!$C$19)</f>
        <v>243525</v>
      </c>
      <c r="G25" s="58" t="n">
        <f aca="false">1000*1*((('Analyst Mode'!$C$23-'Analyst Mode'!$C$24)/60*'Analyst Mode'!$C$26) + (Cockpit!$C$12*'Analyst Mode'!$C$32) + ('Analyst Mode'!$C$37*'Analyst Mode'!$C$38*'Analyst Mode'!$C$39*'Analyst Mode'!$C$26) - 'Analyst Mode'!$C$19)</f>
        <v>324700</v>
      </c>
    </row>
    <row r="26" customFormat="false" ht="15" hidden="false" customHeight="false" outlineLevel="0" collapsed="false">
      <c r="B26" s="64" t="s">
        <v>138</v>
      </c>
      <c r="C26" s="58" t="n">
        <f aca="false">2500*0.1*((('Analyst Mode'!$C$23-'Analyst Mode'!$C$24)/60*'Analyst Mode'!$C$26) + (Cockpit!$C$12*'Analyst Mode'!$C$32) + ('Analyst Mode'!$C$37*'Analyst Mode'!$C$38*'Analyst Mode'!$C$39*'Analyst Mode'!$C$26) - 'Analyst Mode'!$C$19)</f>
        <v>81175</v>
      </c>
      <c r="D26" s="58" t="n">
        <f aca="false">2500*0.25*((('Analyst Mode'!$C$23-'Analyst Mode'!$C$24)/60*'Analyst Mode'!$C$26) + (Cockpit!$C$12*'Analyst Mode'!$C$32) + ('Analyst Mode'!$C$37*'Analyst Mode'!$C$38*'Analyst Mode'!$C$39*'Analyst Mode'!$C$26) - 'Analyst Mode'!$C$19)</f>
        <v>202937.5</v>
      </c>
      <c r="E26" s="58" t="n">
        <f aca="false">2500*0.5*((('Analyst Mode'!$C$23-'Analyst Mode'!$C$24)/60*'Analyst Mode'!$C$26) + (Cockpit!$C$12*'Analyst Mode'!$C$32) + ('Analyst Mode'!$C$37*'Analyst Mode'!$C$38*'Analyst Mode'!$C$39*'Analyst Mode'!$C$26) - 'Analyst Mode'!$C$19)</f>
        <v>405875</v>
      </c>
      <c r="F26" s="58" t="n">
        <f aca="false">2500*0.75*((('Analyst Mode'!$C$23-'Analyst Mode'!$C$24)/60*'Analyst Mode'!$C$26) + (Cockpit!$C$12*'Analyst Mode'!$C$32) + ('Analyst Mode'!$C$37*'Analyst Mode'!$C$38*'Analyst Mode'!$C$39*'Analyst Mode'!$C$26) - 'Analyst Mode'!$C$19)</f>
        <v>608812.5</v>
      </c>
      <c r="G26" s="58" t="n">
        <f aca="false">2500*1*((('Analyst Mode'!$C$23-'Analyst Mode'!$C$24)/60*'Analyst Mode'!$C$26) + (Cockpit!$C$12*'Analyst Mode'!$C$32) + ('Analyst Mode'!$C$37*'Analyst Mode'!$C$38*'Analyst Mode'!$C$39*'Analyst Mode'!$C$26) - 'Analyst Mode'!$C$19)</f>
        <v>811750</v>
      </c>
    </row>
    <row r="27" customFormat="false" ht="15" hidden="false" customHeight="false" outlineLevel="0" collapsed="false">
      <c r="B27" s="64" t="s">
        <v>139</v>
      </c>
      <c r="C27" s="58" t="n">
        <f aca="false">5000*0.1*((('Analyst Mode'!$C$23-'Analyst Mode'!$C$24)/60*'Analyst Mode'!$C$26) + (Cockpit!$C$12*'Analyst Mode'!$C$32) + ('Analyst Mode'!$C$37*'Analyst Mode'!$C$38*'Analyst Mode'!$C$39*'Analyst Mode'!$C$26) - 'Analyst Mode'!$C$19)</f>
        <v>162350</v>
      </c>
      <c r="D27" s="58" t="n">
        <f aca="false">5000*0.25*((('Analyst Mode'!$C$23-'Analyst Mode'!$C$24)/60*'Analyst Mode'!$C$26) + (Cockpit!$C$12*'Analyst Mode'!$C$32) + ('Analyst Mode'!$C$37*'Analyst Mode'!$C$38*'Analyst Mode'!$C$39*'Analyst Mode'!$C$26) - 'Analyst Mode'!$C$19)</f>
        <v>405875</v>
      </c>
      <c r="E27" s="58" t="n">
        <f aca="false">5000*0.5*((('Analyst Mode'!$C$23-'Analyst Mode'!$C$24)/60*'Analyst Mode'!$C$26) + (Cockpit!$C$12*'Analyst Mode'!$C$32) + ('Analyst Mode'!$C$37*'Analyst Mode'!$C$38*'Analyst Mode'!$C$39*'Analyst Mode'!$C$26) - 'Analyst Mode'!$C$19)</f>
        <v>811750</v>
      </c>
      <c r="F27" s="58" t="n">
        <f aca="false">5000*0.75*((('Analyst Mode'!$C$23-'Analyst Mode'!$C$24)/60*'Analyst Mode'!$C$26) + (Cockpit!$C$12*'Analyst Mode'!$C$32) + ('Analyst Mode'!$C$37*'Analyst Mode'!$C$38*'Analyst Mode'!$C$39*'Analyst Mode'!$C$26) - 'Analyst Mode'!$C$19)</f>
        <v>1217625</v>
      </c>
      <c r="G27" s="58" t="n">
        <f aca="false">5000*1*((('Analyst Mode'!$C$23-'Analyst Mode'!$C$24)/60*'Analyst Mode'!$C$26) + (Cockpit!$C$12*'Analyst Mode'!$C$32) + ('Analyst Mode'!$C$37*'Analyst Mode'!$C$38*'Analyst Mode'!$C$39*'Analyst Mode'!$C$26) - 'Analyst Mode'!$C$19)</f>
        <v>1623500</v>
      </c>
    </row>
    <row r="28" customFormat="false" ht="15" hidden="false" customHeight="false" outlineLevel="0" collapsed="false">
      <c r="B28" s="64" t="s">
        <v>140</v>
      </c>
      <c r="C28" s="58" t="n">
        <f aca="false">7500*0.1*((('Analyst Mode'!$C$23-'Analyst Mode'!$C$24)/60*'Analyst Mode'!$C$26) + (Cockpit!$C$12*'Analyst Mode'!$C$32) + ('Analyst Mode'!$C$37*'Analyst Mode'!$C$38*'Analyst Mode'!$C$39*'Analyst Mode'!$C$26) - 'Analyst Mode'!$C$19)</f>
        <v>243525</v>
      </c>
      <c r="D28" s="58" t="n">
        <f aca="false">7500*0.25*((('Analyst Mode'!$C$23-'Analyst Mode'!$C$24)/60*'Analyst Mode'!$C$26) + (Cockpit!$C$12*'Analyst Mode'!$C$32) + ('Analyst Mode'!$C$37*'Analyst Mode'!$C$38*'Analyst Mode'!$C$39*'Analyst Mode'!$C$26) - 'Analyst Mode'!$C$19)</f>
        <v>608812.5</v>
      </c>
      <c r="E28" s="58" t="n">
        <f aca="false">7500*0.5*((('Analyst Mode'!$C$23-'Analyst Mode'!$C$24)/60*'Analyst Mode'!$C$26) + (Cockpit!$C$12*'Analyst Mode'!$C$32) + ('Analyst Mode'!$C$37*'Analyst Mode'!$C$38*'Analyst Mode'!$C$39*'Analyst Mode'!$C$26) - 'Analyst Mode'!$C$19)</f>
        <v>1217625</v>
      </c>
      <c r="F28" s="58" t="n">
        <f aca="false">7500*0.75*((('Analyst Mode'!$C$23-'Analyst Mode'!$C$24)/60*'Analyst Mode'!$C$26) + (Cockpit!$C$12*'Analyst Mode'!$C$32) + ('Analyst Mode'!$C$37*'Analyst Mode'!$C$38*'Analyst Mode'!$C$39*'Analyst Mode'!$C$26) - 'Analyst Mode'!$C$19)</f>
        <v>1826437.5</v>
      </c>
      <c r="G28" s="58" t="n">
        <f aca="false">7500*1*((('Analyst Mode'!$C$23-'Analyst Mode'!$C$24)/60*'Analyst Mode'!$C$26) + (Cockpit!$C$12*'Analyst Mode'!$C$32) + ('Analyst Mode'!$C$37*'Analyst Mode'!$C$38*'Analyst Mode'!$C$39*'Analyst Mode'!$C$26) - 'Analyst Mode'!$C$19)</f>
        <v>2435250</v>
      </c>
    </row>
    <row r="29" customFormat="false" ht="15" hidden="false" customHeight="false" outlineLevel="0" collapsed="false">
      <c r="B29" s="64" t="s">
        <v>141</v>
      </c>
      <c r="C29" s="58" t="n">
        <f aca="false">10000*0.1*((('Analyst Mode'!$C$23-'Analyst Mode'!$C$24)/60*'Analyst Mode'!$C$26) + (Cockpit!$C$12*'Analyst Mode'!$C$32) + ('Analyst Mode'!$C$37*'Analyst Mode'!$C$38*'Analyst Mode'!$C$39*'Analyst Mode'!$C$26) - 'Analyst Mode'!$C$19)</f>
        <v>324700</v>
      </c>
      <c r="D29" s="58" t="n">
        <f aca="false">10000*0.25*((('Analyst Mode'!$C$23-'Analyst Mode'!$C$24)/60*'Analyst Mode'!$C$26) + (Cockpit!$C$12*'Analyst Mode'!$C$32) + ('Analyst Mode'!$C$37*'Analyst Mode'!$C$38*'Analyst Mode'!$C$39*'Analyst Mode'!$C$26) - 'Analyst Mode'!$C$19)</f>
        <v>811750</v>
      </c>
      <c r="E29" s="58" t="n">
        <f aca="false">10000*0.5*((('Analyst Mode'!$C$23-'Analyst Mode'!$C$24)/60*'Analyst Mode'!$C$26) + (Cockpit!$C$12*'Analyst Mode'!$C$32) + ('Analyst Mode'!$C$37*'Analyst Mode'!$C$38*'Analyst Mode'!$C$39*'Analyst Mode'!$C$26) - 'Analyst Mode'!$C$19)</f>
        <v>1623500</v>
      </c>
      <c r="F29" s="58" t="n">
        <f aca="false">10000*0.75*((('Analyst Mode'!$C$23-'Analyst Mode'!$C$24)/60*'Analyst Mode'!$C$26) + (Cockpit!$C$12*'Analyst Mode'!$C$32) + ('Analyst Mode'!$C$37*'Analyst Mode'!$C$38*'Analyst Mode'!$C$39*'Analyst Mode'!$C$26) - 'Analyst Mode'!$C$19)</f>
        <v>2435250</v>
      </c>
      <c r="G29" s="58" t="n">
        <f aca="false">10000*1*((('Analyst Mode'!$C$23-'Analyst Mode'!$C$24)/60*'Analyst Mode'!$C$26) + (Cockpit!$C$12*'Analyst Mode'!$C$32) + ('Analyst Mode'!$C$37*'Analyst Mode'!$C$38*'Analyst Mode'!$C$39*'Analyst Mode'!$C$26) - 'Analyst Mode'!$C$19)</f>
        <v>3247000</v>
      </c>
    </row>
    <row r="30" customFormat="false" ht="15" hidden="false" customHeight="false" outlineLevel="0" collapsed="false">
      <c r="B30" s="64" t="s">
        <v>142</v>
      </c>
      <c r="C30" s="58" t="n">
        <f aca="false">15000*0.1*((('Analyst Mode'!$C$23-'Analyst Mode'!$C$24)/60*'Analyst Mode'!$C$26) + (Cockpit!$C$12*'Analyst Mode'!$C$32) + ('Analyst Mode'!$C$37*'Analyst Mode'!$C$38*'Analyst Mode'!$C$39*'Analyst Mode'!$C$26) - 'Analyst Mode'!$C$19)</f>
        <v>487050</v>
      </c>
      <c r="D30" s="58" t="n">
        <f aca="false">15000*0.25*((('Analyst Mode'!$C$23-'Analyst Mode'!$C$24)/60*'Analyst Mode'!$C$26) + (Cockpit!$C$12*'Analyst Mode'!$C$32) + ('Analyst Mode'!$C$37*'Analyst Mode'!$C$38*'Analyst Mode'!$C$39*'Analyst Mode'!$C$26) - 'Analyst Mode'!$C$19)</f>
        <v>1217625</v>
      </c>
      <c r="E30" s="58" t="n">
        <f aca="false">15000*0.5*((('Analyst Mode'!$C$23-'Analyst Mode'!$C$24)/60*'Analyst Mode'!$C$26) + (Cockpit!$C$12*'Analyst Mode'!$C$32) + ('Analyst Mode'!$C$37*'Analyst Mode'!$C$38*'Analyst Mode'!$C$39*'Analyst Mode'!$C$26) - 'Analyst Mode'!$C$19)</f>
        <v>2435250</v>
      </c>
      <c r="F30" s="58" t="n">
        <f aca="false">15000*0.75*((('Analyst Mode'!$C$23-'Analyst Mode'!$C$24)/60*'Analyst Mode'!$C$26) + (Cockpit!$C$12*'Analyst Mode'!$C$32) + ('Analyst Mode'!$C$37*'Analyst Mode'!$C$38*'Analyst Mode'!$C$39*'Analyst Mode'!$C$26) - 'Analyst Mode'!$C$19)</f>
        <v>3652875</v>
      </c>
      <c r="G30" s="58" t="n">
        <f aca="false">15000*1*((('Analyst Mode'!$C$23-'Analyst Mode'!$C$24)/60*'Analyst Mode'!$C$26) + (Cockpit!$C$12*'Analyst Mode'!$C$32) + ('Analyst Mode'!$C$37*'Analyst Mode'!$C$38*'Analyst Mode'!$C$39*'Analyst Mode'!$C$26) - 'Analyst Mode'!$C$19)</f>
        <v>4870500</v>
      </c>
    </row>
    <row r="31" customFormat="false" ht="15" hidden="false" customHeight="false" outlineLevel="0" collapsed="false">
      <c r="B31" s="64" t="s">
        <v>143</v>
      </c>
      <c r="C31" s="58" t="n">
        <f aca="false">25000*0.1*((('Analyst Mode'!$C$23-'Analyst Mode'!$C$24)/60*'Analyst Mode'!$C$26) + (Cockpit!$C$12*'Analyst Mode'!$C$32) + ('Analyst Mode'!$C$37*'Analyst Mode'!$C$38*'Analyst Mode'!$C$39*'Analyst Mode'!$C$26) - 'Analyst Mode'!$C$19)</f>
        <v>811750</v>
      </c>
      <c r="D31" s="58" t="n">
        <f aca="false">25000*0.25*((('Analyst Mode'!$C$23-'Analyst Mode'!$C$24)/60*'Analyst Mode'!$C$26) + (Cockpit!$C$12*'Analyst Mode'!$C$32) + ('Analyst Mode'!$C$37*'Analyst Mode'!$C$38*'Analyst Mode'!$C$39*'Analyst Mode'!$C$26) - 'Analyst Mode'!$C$19)</f>
        <v>2029375</v>
      </c>
      <c r="E31" s="58" t="n">
        <f aca="false">25000*0.5*((('Analyst Mode'!$C$23-'Analyst Mode'!$C$24)/60*'Analyst Mode'!$C$26) + (Cockpit!$C$12*'Analyst Mode'!$C$32) + ('Analyst Mode'!$C$37*'Analyst Mode'!$C$38*'Analyst Mode'!$C$39*'Analyst Mode'!$C$26) - 'Analyst Mode'!$C$19)</f>
        <v>4058750</v>
      </c>
      <c r="F31" s="58" t="n">
        <f aca="false">25000*0.75*((('Analyst Mode'!$C$23-'Analyst Mode'!$C$24)/60*'Analyst Mode'!$C$26) + (Cockpit!$C$12*'Analyst Mode'!$C$32) + ('Analyst Mode'!$C$37*'Analyst Mode'!$C$38*'Analyst Mode'!$C$39*'Analyst Mode'!$C$26) - 'Analyst Mode'!$C$19)</f>
        <v>6088125</v>
      </c>
      <c r="G31" s="58" t="n">
        <f aca="false">25000*1*((('Analyst Mode'!$C$23-'Analyst Mode'!$C$24)/60*'Analyst Mode'!$C$26) + (Cockpit!$C$12*'Analyst Mode'!$C$32) + ('Analyst Mode'!$C$37*'Analyst Mode'!$C$38*'Analyst Mode'!$C$39*'Analyst Mode'!$C$26) - 'Analyst Mode'!$C$19)</f>
        <v>8117500</v>
      </c>
    </row>
    <row r="34" customFormat="false" ht="21.75" hidden="false" customHeight="true" outlineLevel="0" collapsed="false">
      <c r="B34" s="6" t="s">
        <v>144</v>
      </c>
      <c r="C34" s="6"/>
      <c r="D34" s="6"/>
      <c r="E34" s="6"/>
      <c r="F34" s="6"/>
      <c r="G34" s="6"/>
      <c r="H34" s="6"/>
      <c r="I34" s="6"/>
      <c r="J34" s="6"/>
      <c r="K34" s="6"/>
      <c r="L34" s="6"/>
    </row>
    <row r="36" customFormat="false" ht="15" hidden="false" customHeight="true" outlineLevel="0" collapsed="false">
      <c r="B36" s="25" t="s">
        <v>145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</row>
    <row r="38" customFormat="false" ht="15" hidden="false" customHeight="false" outlineLevel="0" collapsed="false">
      <c r="B38" s="63" t="s">
        <v>146</v>
      </c>
      <c r="C38" s="54" t="s">
        <v>147</v>
      </c>
      <c r="D38" s="54" t="s">
        <v>148</v>
      </c>
      <c r="E38" s="54" t="s">
        <v>149</v>
      </c>
      <c r="F38" s="54" t="s">
        <v>150</v>
      </c>
      <c r="G38" s="54" t="s">
        <v>151</v>
      </c>
    </row>
    <row r="39" customFormat="false" ht="15" hidden="false" customHeight="false" outlineLevel="0" collapsed="false">
      <c r="B39" s="64" t="s">
        <v>152</v>
      </c>
      <c r="C39" s="58" t="n">
        <f aca="false">1000*12000*0.01 + 1000*('Analyst Mode'!$C$23-'Analyst Mode'!$C$24)/60*'Analyst Mode'!$C$26 + 1000*'Analyst Mode'!$C$37*'Analyst Mode'!$C$38*'Analyst Mode'!$C$39*'Analyst Mode'!$C$26 - 1000*'Analyst Mode'!$C$19</f>
        <v>99500</v>
      </c>
      <c r="D39" s="58" t="n">
        <f aca="false">1000*12000*0.02 + 1000*('Analyst Mode'!$C$23-'Analyst Mode'!$C$24)/60*'Analyst Mode'!$C$26 + 1000*'Analyst Mode'!$C$37*'Analyst Mode'!$C$38*'Analyst Mode'!$C$39*'Analyst Mode'!$C$26 - 1000*'Analyst Mode'!$C$19</f>
        <v>219500</v>
      </c>
      <c r="E39" s="58" t="n">
        <f aca="false">1000*12000*0.03 + 1000*('Analyst Mode'!$C$23-'Analyst Mode'!$C$24)/60*'Analyst Mode'!$C$26 + 1000*'Analyst Mode'!$C$37*'Analyst Mode'!$C$38*'Analyst Mode'!$C$39*'Analyst Mode'!$C$26 - 1000*'Analyst Mode'!$C$19</f>
        <v>339500</v>
      </c>
      <c r="F39" s="58" t="n">
        <f aca="false">1000*12000*0.04 + 1000*('Analyst Mode'!$C$23-'Analyst Mode'!$C$24)/60*'Analyst Mode'!$C$26 + 1000*'Analyst Mode'!$C$37*'Analyst Mode'!$C$38*'Analyst Mode'!$C$39*'Analyst Mode'!$C$26 - 1000*'Analyst Mode'!$C$19</f>
        <v>459500</v>
      </c>
      <c r="G39" s="58" t="n">
        <f aca="false">1000*12000*0.05 + 1000*('Analyst Mode'!$C$23-'Analyst Mode'!$C$24)/60*'Analyst Mode'!$C$26 + 1000*'Analyst Mode'!$C$37*'Analyst Mode'!$C$38*'Analyst Mode'!$C$39*'Analyst Mode'!$C$26 - 1000*'Analyst Mode'!$C$19</f>
        <v>579500</v>
      </c>
    </row>
    <row r="40" customFormat="false" ht="15" hidden="false" customHeight="false" outlineLevel="0" collapsed="false">
      <c r="B40" s="64" t="s">
        <v>153</v>
      </c>
      <c r="C40" s="58" t="n">
        <f aca="false">1000*15000*0.01 + 1000*('Analyst Mode'!$C$23-'Analyst Mode'!$C$24)/60*'Analyst Mode'!$C$26 + 1000*'Analyst Mode'!$C$37*'Analyst Mode'!$C$38*'Analyst Mode'!$C$39*'Analyst Mode'!$C$26 - 1000*'Analyst Mode'!$C$19</f>
        <v>129500</v>
      </c>
      <c r="D40" s="58" t="n">
        <f aca="false">1000*15000*0.02 + 1000*('Analyst Mode'!$C$23-'Analyst Mode'!$C$24)/60*'Analyst Mode'!$C$26 + 1000*'Analyst Mode'!$C$37*'Analyst Mode'!$C$38*'Analyst Mode'!$C$39*'Analyst Mode'!$C$26 - 1000*'Analyst Mode'!$C$19</f>
        <v>279500</v>
      </c>
      <c r="E40" s="58" t="n">
        <f aca="false">1000*15000*0.03 + 1000*('Analyst Mode'!$C$23-'Analyst Mode'!$C$24)/60*'Analyst Mode'!$C$26 + 1000*'Analyst Mode'!$C$37*'Analyst Mode'!$C$38*'Analyst Mode'!$C$39*'Analyst Mode'!$C$26 - 1000*'Analyst Mode'!$C$19</f>
        <v>429500</v>
      </c>
      <c r="F40" s="58" t="n">
        <f aca="false">1000*15000*0.04 + 1000*('Analyst Mode'!$C$23-'Analyst Mode'!$C$24)/60*'Analyst Mode'!$C$26 + 1000*'Analyst Mode'!$C$37*'Analyst Mode'!$C$38*'Analyst Mode'!$C$39*'Analyst Mode'!$C$26 - 1000*'Analyst Mode'!$C$19</f>
        <v>579500</v>
      </c>
      <c r="G40" s="58" t="n">
        <f aca="false">1000*15000*0.05 + 1000*('Analyst Mode'!$C$23-'Analyst Mode'!$C$24)/60*'Analyst Mode'!$C$26 + 1000*'Analyst Mode'!$C$37*'Analyst Mode'!$C$38*'Analyst Mode'!$C$39*'Analyst Mode'!$C$26 - 1000*'Analyst Mode'!$C$19</f>
        <v>729500</v>
      </c>
    </row>
    <row r="41" customFormat="false" ht="15" hidden="false" customHeight="false" outlineLevel="0" collapsed="false">
      <c r="B41" s="64" t="s">
        <v>154</v>
      </c>
      <c r="C41" s="58" t="n">
        <f aca="false">1000*17260*0.01 + 1000*('Analyst Mode'!$C$23-'Analyst Mode'!$C$24)/60*'Analyst Mode'!$C$26 + 1000*'Analyst Mode'!$C$37*'Analyst Mode'!$C$38*'Analyst Mode'!$C$39*'Analyst Mode'!$C$26 - 1000*'Analyst Mode'!$C$19</f>
        <v>152100</v>
      </c>
      <c r="D41" s="58" t="n">
        <f aca="false">1000*17260*0.02 + 1000*('Analyst Mode'!$C$23-'Analyst Mode'!$C$24)/60*'Analyst Mode'!$C$26 + 1000*'Analyst Mode'!$C$37*'Analyst Mode'!$C$38*'Analyst Mode'!$C$39*'Analyst Mode'!$C$26 - 1000*'Analyst Mode'!$C$19</f>
        <v>324700</v>
      </c>
      <c r="E41" s="58" t="n">
        <f aca="false">1000*17260*0.03 + 1000*('Analyst Mode'!$C$23-'Analyst Mode'!$C$24)/60*'Analyst Mode'!$C$26 + 1000*'Analyst Mode'!$C$37*'Analyst Mode'!$C$38*'Analyst Mode'!$C$39*'Analyst Mode'!$C$26 - 1000*'Analyst Mode'!$C$19</f>
        <v>497300</v>
      </c>
      <c r="F41" s="58" t="n">
        <f aca="false">1000*17260*0.04 + 1000*('Analyst Mode'!$C$23-'Analyst Mode'!$C$24)/60*'Analyst Mode'!$C$26 + 1000*'Analyst Mode'!$C$37*'Analyst Mode'!$C$38*'Analyst Mode'!$C$39*'Analyst Mode'!$C$26 - 1000*'Analyst Mode'!$C$19</f>
        <v>669900</v>
      </c>
      <c r="G41" s="58" t="n">
        <f aca="false">1000*17260*0.05 + 1000*('Analyst Mode'!$C$23-'Analyst Mode'!$C$24)/60*'Analyst Mode'!$C$26 + 1000*'Analyst Mode'!$C$37*'Analyst Mode'!$C$38*'Analyst Mode'!$C$39*'Analyst Mode'!$C$26 - 1000*'Analyst Mode'!$C$19</f>
        <v>842500</v>
      </c>
    </row>
    <row r="42" customFormat="false" ht="15" hidden="false" customHeight="false" outlineLevel="0" collapsed="false">
      <c r="B42" s="64" t="s">
        <v>155</v>
      </c>
      <c r="C42" s="58" t="n">
        <f aca="false">1000*20000*0.01 + 1000*('Analyst Mode'!$C$23-'Analyst Mode'!$C$24)/60*'Analyst Mode'!$C$26 + 1000*'Analyst Mode'!$C$37*'Analyst Mode'!$C$38*'Analyst Mode'!$C$39*'Analyst Mode'!$C$26 - 1000*'Analyst Mode'!$C$19</f>
        <v>179500</v>
      </c>
      <c r="D42" s="58" t="n">
        <f aca="false">1000*20000*0.02 + 1000*('Analyst Mode'!$C$23-'Analyst Mode'!$C$24)/60*'Analyst Mode'!$C$26 + 1000*'Analyst Mode'!$C$37*'Analyst Mode'!$C$38*'Analyst Mode'!$C$39*'Analyst Mode'!$C$26 - 1000*'Analyst Mode'!$C$19</f>
        <v>379500</v>
      </c>
      <c r="E42" s="58" t="n">
        <f aca="false">1000*20000*0.03 + 1000*('Analyst Mode'!$C$23-'Analyst Mode'!$C$24)/60*'Analyst Mode'!$C$26 + 1000*'Analyst Mode'!$C$37*'Analyst Mode'!$C$38*'Analyst Mode'!$C$39*'Analyst Mode'!$C$26 - 1000*'Analyst Mode'!$C$19</f>
        <v>579500</v>
      </c>
      <c r="F42" s="58" t="n">
        <f aca="false">1000*20000*0.04 + 1000*('Analyst Mode'!$C$23-'Analyst Mode'!$C$24)/60*'Analyst Mode'!$C$26 + 1000*'Analyst Mode'!$C$37*'Analyst Mode'!$C$38*'Analyst Mode'!$C$39*'Analyst Mode'!$C$26 - 1000*'Analyst Mode'!$C$19</f>
        <v>779500</v>
      </c>
      <c r="G42" s="58" t="n">
        <f aca="false">1000*20000*0.05 + 1000*('Analyst Mode'!$C$23-'Analyst Mode'!$C$24)/60*'Analyst Mode'!$C$26 + 1000*'Analyst Mode'!$C$37*'Analyst Mode'!$C$38*'Analyst Mode'!$C$39*'Analyst Mode'!$C$26 - 1000*'Analyst Mode'!$C$19</f>
        <v>979500</v>
      </c>
    </row>
    <row r="43" customFormat="false" ht="15" hidden="false" customHeight="false" outlineLevel="0" collapsed="false">
      <c r="B43" s="64" t="s">
        <v>156</v>
      </c>
      <c r="C43" s="58" t="n">
        <f aca="false">1000*25000*0.01 + 1000*('Analyst Mode'!$C$23-'Analyst Mode'!$C$24)/60*'Analyst Mode'!$C$26 + 1000*'Analyst Mode'!$C$37*'Analyst Mode'!$C$38*'Analyst Mode'!$C$39*'Analyst Mode'!$C$26 - 1000*'Analyst Mode'!$C$19</f>
        <v>229500</v>
      </c>
      <c r="D43" s="58" t="n">
        <f aca="false">1000*25000*0.02 + 1000*('Analyst Mode'!$C$23-'Analyst Mode'!$C$24)/60*'Analyst Mode'!$C$26 + 1000*'Analyst Mode'!$C$37*'Analyst Mode'!$C$38*'Analyst Mode'!$C$39*'Analyst Mode'!$C$26 - 1000*'Analyst Mode'!$C$19</f>
        <v>479500</v>
      </c>
      <c r="E43" s="58" t="n">
        <f aca="false">1000*25000*0.03 + 1000*('Analyst Mode'!$C$23-'Analyst Mode'!$C$24)/60*'Analyst Mode'!$C$26 + 1000*'Analyst Mode'!$C$37*'Analyst Mode'!$C$38*'Analyst Mode'!$C$39*'Analyst Mode'!$C$26 - 1000*'Analyst Mode'!$C$19</f>
        <v>729500</v>
      </c>
      <c r="F43" s="58" t="n">
        <f aca="false">1000*25000*0.04 + 1000*('Analyst Mode'!$C$23-'Analyst Mode'!$C$24)/60*'Analyst Mode'!$C$26 + 1000*'Analyst Mode'!$C$37*'Analyst Mode'!$C$38*'Analyst Mode'!$C$39*'Analyst Mode'!$C$26 - 1000*'Analyst Mode'!$C$19</f>
        <v>979500</v>
      </c>
      <c r="G43" s="58" t="n">
        <f aca="false">1000*25000*0.05 + 1000*('Analyst Mode'!$C$23-'Analyst Mode'!$C$24)/60*'Analyst Mode'!$C$26 + 1000*'Analyst Mode'!$C$37*'Analyst Mode'!$C$38*'Analyst Mode'!$C$39*'Analyst Mode'!$C$26 - 1000*'Analyst Mode'!$C$19</f>
        <v>1229500</v>
      </c>
    </row>
    <row r="46" customFormat="false" ht="30" hidden="false" customHeight="true" outlineLevel="0" collapsed="false">
      <c r="B46" s="25" t="s">
        <v>157</v>
      </c>
      <c r="C46" s="25"/>
      <c r="D46" s="25"/>
      <c r="E46" s="25"/>
      <c r="F46" s="25"/>
      <c r="G46" s="25"/>
      <c r="H46" s="25"/>
      <c r="I46" s="25"/>
      <c r="J46" s="25"/>
      <c r="K46" s="25"/>
      <c r="L46" s="25"/>
    </row>
  </sheetData>
  <mergeCells count="10">
    <mergeCell ref="A1:L1"/>
    <mergeCell ref="A2:L2"/>
    <mergeCell ref="A3:L3"/>
    <mergeCell ref="B5:L5"/>
    <mergeCell ref="B18:E18"/>
    <mergeCell ref="B20:L20"/>
    <mergeCell ref="B22:L22"/>
    <mergeCell ref="B34:L34"/>
    <mergeCell ref="B36:L36"/>
    <mergeCell ref="B46:L46"/>
  </mergeCells>
  <conditionalFormatting sqref="C25:G31">
    <cfRule type="colorScale" priority="2">
      <colorScale>
        <cfvo type="min" val="0"/>
        <cfvo type="percentile" val="50"/>
        <cfvo type="max" val="0"/>
        <color rgb="FFF8D7DA"/>
        <color rgb="FFFFF3CD"/>
        <color rgb="FFD4EDDA"/>
      </colorScale>
    </cfRule>
  </conditionalFormatting>
  <conditionalFormatting sqref="C39:G43">
    <cfRule type="colorScale" priority="3">
      <colorScale>
        <cfvo type="min" val="0"/>
        <cfvo type="percentile" val="50"/>
        <cfvo type="max" val="0"/>
        <color rgb="FFF8D7DA"/>
        <color rgb="FFFFF3CD"/>
        <color rgb="FFD4EDDA"/>
      </colorScale>
    </cfRule>
  </conditionalFormatting>
  <printOptions headings="false" gridLines="false" gridLinesSet="true" horizontalCentered="true" verticalCentered="false"/>
  <pageMargins left="0.4" right="0.4" top="0.4" bottom="0.4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0"/>
    <col collapsed="false" customWidth="true" hidden="false" outlineLevel="0" max="11" min="3" style="0" width="14"/>
    <col collapsed="false" customWidth="true" hidden="false" outlineLevel="0" max="12" min="12" style="0" width="2"/>
  </cols>
  <sheetData>
    <row r="1" customFormat="false" ht="9.7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36" hidden="false" customHeight="true" outlineLevel="0" collapsed="false">
      <c r="A2" s="2" t="s">
        <v>158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Format="false" ht="21.75" hidden="false" customHeight="true" outlineLevel="0" collapsed="false">
      <c r="A3" s="3" t="s">
        <v>159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5" customFormat="false" ht="27.75" hidden="false" customHeight="true" outlineLevel="0" collapsed="false">
      <c r="B5" s="65" t="str">
        <f aca="false">"Carrier: "&amp;'Analyst Mode'!C8 &amp; "  ·  Scenario: "&amp;'Analyst Mode'!C10 &amp; "  ·  Prepared "&amp;'Analyst Mode'!C9</f>
        <v>Carrier: [Carrier name]  ·  Scenario: Moderate  ·  Prepared 2026-04-22</v>
      </c>
      <c r="C5" s="65"/>
      <c r="D5" s="65"/>
      <c r="E5" s="65"/>
      <c r="F5" s="65"/>
      <c r="G5" s="65"/>
      <c r="H5" s="65"/>
      <c r="I5" s="65"/>
      <c r="J5" s="65"/>
      <c r="K5" s="65"/>
      <c r="L5" s="65"/>
    </row>
    <row r="7" customFormat="false" ht="21.75" hidden="false" customHeight="true" outlineLevel="0" collapsed="false">
      <c r="B7" s="6" t="s">
        <v>160</v>
      </c>
      <c r="C7" s="6"/>
      <c r="D7" s="6"/>
      <c r="E7" s="6"/>
      <c r="F7" s="6"/>
      <c r="G7" s="6"/>
      <c r="H7" s="6"/>
      <c r="I7" s="6"/>
      <c r="J7" s="6"/>
      <c r="K7" s="6"/>
      <c r="L7" s="6"/>
    </row>
    <row r="9" customFormat="false" ht="27.75" hidden="false" customHeight="true" outlineLevel="0" collapsed="false">
      <c r="B9" s="66" t="str">
        <f aca="false">"Implementing FastEstimate on "&amp;TEXT('Analyst Mode'!C18,"#,##0")&amp;" wind/hail estimates/year delivers "&amp;TEXT('Analyst Mode'!C51,"$#,##0")&amp;" in net annual savings — a "&amp;TEXT('Analyst Mode'!C52,"0.0")&amp;"x return. At "&amp;TEXT('Analyst Mode'!C53,"$#,##0")&amp;" net per estimate, every claim is net-positive from day one."</f>
        <v>Implementing FastEstimate on 2,273 wind/hail estimates/year delivers $737,955 in net annual savings — a 8.2x return. At $325 net per estimate, every claim is net-positive from day one.</v>
      </c>
      <c r="C9" s="66"/>
      <c r="D9" s="66"/>
      <c r="E9" s="66"/>
      <c r="F9" s="66"/>
      <c r="G9" s="66"/>
      <c r="H9" s="66"/>
      <c r="I9" s="66"/>
      <c r="J9" s="66"/>
      <c r="K9" s="66"/>
      <c r="L9" s="66"/>
    </row>
    <row r="10" customFormat="false" ht="27.75" hidden="false" customHeight="true" outlineLevel="0" collapsed="false"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</row>
    <row r="12" customFormat="false" ht="21.75" hidden="false" customHeight="true" outlineLevel="0" collapsed="false">
      <c r="B12" s="6" t="s">
        <v>161</v>
      </c>
      <c r="C12" s="6"/>
      <c r="D12" s="6"/>
      <c r="E12" s="6"/>
      <c r="F12" s="6"/>
      <c r="G12" s="6"/>
      <c r="H12" s="6"/>
      <c r="I12" s="6"/>
      <c r="J12" s="6"/>
      <c r="K12" s="6"/>
      <c r="L12" s="6"/>
    </row>
    <row r="14" customFormat="false" ht="18" hidden="false" customHeight="true" outlineLevel="0" collapsed="false">
      <c r="B14" s="11" t="s">
        <v>162</v>
      </c>
      <c r="C14" s="11"/>
      <c r="D14" s="11"/>
      <c r="E14" s="11" t="s">
        <v>163</v>
      </c>
      <c r="F14" s="11"/>
      <c r="G14" s="11"/>
      <c r="H14" s="11" t="s">
        <v>164</v>
      </c>
      <c r="I14" s="11"/>
      <c r="J14" s="11" t="s">
        <v>165</v>
      </c>
      <c r="K14" s="11"/>
      <c r="L14" s="11"/>
    </row>
    <row r="15" customFormat="false" ht="18" hidden="false" customHeight="true" outlineLevel="0" collapsed="false">
      <c r="B15" s="67" t="n">
        <f aca="false">'Analyst Mode'!C51</f>
        <v>737954.545454545</v>
      </c>
      <c r="C15" s="67"/>
      <c r="D15" s="67"/>
      <c r="E15" s="68" t="n">
        <f aca="false">'Analyst Mode'!C52</f>
        <v>8.21555555555556</v>
      </c>
      <c r="F15" s="68"/>
      <c r="G15" s="68"/>
      <c r="H15" s="67" t="n">
        <f aca="false">'Analyst Mode'!C53</f>
        <v>324.7</v>
      </c>
      <c r="I15" s="67"/>
      <c r="J15" s="69" t="n">
        <f aca="false">'Analyst Mode'!C44</f>
        <v>5</v>
      </c>
      <c r="K15" s="69"/>
      <c r="L15" s="69"/>
    </row>
    <row r="16" customFormat="false" ht="18" hidden="false" customHeight="true" outlineLevel="0" collapsed="false">
      <c r="B16" s="67"/>
      <c r="C16" s="67"/>
      <c r="D16" s="67"/>
      <c r="E16" s="68"/>
      <c r="F16" s="68"/>
      <c r="G16" s="68"/>
      <c r="H16" s="67"/>
      <c r="I16" s="67"/>
      <c r="J16" s="69"/>
      <c r="K16" s="69"/>
      <c r="L16" s="69"/>
    </row>
    <row r="17" customFormat="false" ht="18" hidden="false" customHeight="true" outlineLevel="0" collapsed="false">
      <c r="B17" s="67"/>
      <c r="C17" s="67"/>
      <c r="D17" s="67"/>
      <c r="E17" s="68"/>
      <c r="F17" s="68"/>
      <c r="G17" s="68"/>
      <c r="H17" s="67"/>
      <c r="I17" s="67"/>
      <c r="J17" s="69"/>
      <c r="K17" s="69"/>
      <c r="L17" s="69"/>
    </row>
    <row r="18" customFormat="false" ht="18" hidden="false" customHeight="true" outlineLevel="0" collapsed="false"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</row>
    <row r="20" customFormat="false" ht="21.75" hidden="false" customHeight="true" outlineLevel="0" collapsed="false">
      <c r="B20" s="6" t="s">
        <v>166</v>
      </c>
      <c r="C20" s="6"/>
      <c r="D20" s="6"/>
      <c r="E20" s="6"/>
      <c r="F20" s="6"/>
      <c r="G20" s="6"/>
      <c r="H20" s="6"/>
      <c r="I20" s="6"/>
      <c r="J20" s="6"/>
      <c r="K20" s="6"/>
      <c r="L20" s="6"/>
    </row>
    <row r="22" customFormat="false" ht="19.5" hidden="false" customHeight="true" outlineLevel="0" collapsed="false">
      <c r="B22" s="71" t="s">
        <v>167</v>
      </c>
      <c r="J22" s="51" t="n">
        <f aca="false">'Analyst Mode'!C33</f>
        <v>784545.454545455</v>
      </c>
      <c r="K22" s="51"/>
      <c r="L22" s="51"/>
    </row>
    <row r="23" customFormat="false" ht="30" hidden="false" customHeight="true" outlineLevel="0" collapsed="false">
      <c r="B23" s="22" t="s">
        <v>168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customFormat="false" ht="19.5" hidden="false" customHeight="true" outlineLevel="0" collapsed="false">
      <c r="B24" s="71" t="s">
        <v>169</v>
      </c>
      <c r="J24" s="51" t="n">
        <f aca="false">'Analyst Mode'!C27</f>
        <v>38977.2727272727</v>
      </c>
      <c r="K24" s="51"/>
      <c r="L24" s="51"/>
    </row>
    <row r="25" customFormat="false" ht="30" hidden="false" customHeight="true" outlineLevel="0" collapsed="false">
      <c r="B25" s="22" t="s">
        <v>170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</row>
    <row r="26" customFormat="false" ht="19.5" hidden="false" customHeight="true" outlineLevel="0" collapsed="false">
      <c r="B26" s="71" t="s">
        <v>171</v>
      </c>
      <c r="J26" s="51" t="n">
        <f aca="false">'Analyst Mode'!C40</f>
        <v>16704.5454545455</v>
      </c>
      <c r="K26" s="51"/>
      <c r="L26" s="51"/>
    </row>
    <row r="27" customFormat="false" ht="30" hidden="false" customHeight="true" outlineLevel="0" collapsed="false">
      <c r="B27" s="22" t="s">
        <v>172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</row>
    <row r="28" customFormat="false" ht="21.75" hidden="false" customHeight="true" outlineLevel="0" collapsed="false">
      <c r="B28" s="6" t="s">
        <v>173</v>
      </c>
      <c r="C28" s="6"/>
      <c r="D28" s="6"/>
      <c r="E28" s="6"/>
      <c r="F28" s="6"/>
      <c r="G28" s="6"/>
      <c r="H28" s="6"/>
      <c r="I28" s="6"/>
      <c r="J28" s="6"/>
      <c r="K28" s="6"/>
      <c r="L28" s="6"/>
    </row>
    <row r="30" customFormat="false" ht="21.75" hidden="false" customHeight="true" outlineLevel="0" collapsed="false">
      <c r="B30" s="72" t="s">
        <v>174</v>
      </c>
      <c r="C30" s="72"/>
      <c r="D30" s="72"/>
      <c r="E30" s="72"/>
      <c r="F30" s="72"/>
      <c r="G30" s="72"/>
      <c r="H30" s="72"/>
      <c r="I30" s="72"/>
      <c r="J30" s="72"/>
      <c r="K30" s="72"/>
      <c r="L30" s="72"/>
    </row>
    <row r="31" customFormat="false" ht="21.75" hidden="false" customHeight="true" outlineLevel="0" collapsed="false"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</row>
    <row r="32" customFormat="false" ht="21.75" hidden="false" customHeight="true" outlineLevel="0" collapsed="false"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</row>
    <row r="34" customFormat="false" ht="21.75" hidden="false" customHeight="true" outlineLevel="0" collapsed="false">
      <c r="B34" s="6" t="s">
        <v>37</v>
      </c>
      <c r="C34" s="6"/>
      <c r="D34" s="6"/>
      <c r="E34" s="6"/>
      <c r="F34" s="6"/>
      <c r="G34" s="6"/>
      <c r="H34" s="6"/>
      <c r="I34" s="6"/>
      <c r="J34" s="6"/>
      <c r="K34" s="6"/>
      <c r="L34" s="6"/>
    </row>
    <row r="36" customFormat="false" ht="21.75" hidden="false" customHeight="true" outlineLevel="0" collapsed="false">
      <c r="B36" s="73" t="s">
        <v>175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</row>
    <row r="37" customFormat="false" ht="21.75" hidden="false" customHeight="true" outlineLevel="0" collapsed="false"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</row>
    <row r="38" customFormat="false" ht="21.75" hidden="false" customHeight="true" outlineLevel="0" collapsed="false"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</row>
    <row r="40" customFormat="false" ht="15" hidden="false" customHeight="true" outlineLevel="0" collapsed="false">
      <c r="B40" s="32" t="s">
        <v>176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</row>
  </sheetData>
  <mergeCells count="27">
    <mergeCell ref="A1:L1"/>
    <mergeCell ref="A2:L2"/>
    <mergeCell ref="A3:L3"/>
    <mergeCell ref="B5:L5"/>
    <mergeCell ref="B7:L7"/>
    <mergeCell ref="B9:L10"/>
    <mergeCell ref="B12:L12"/>
    <mergeCell ref="B14:D14"/>
    <mergeCell ref="E14:G14"/>
    <mergeCell ref="H14:I14"/>
    <mergeCell ref="J14:L14"/>
    <mergeCell ref="B15:D17"/>
    <mergeCell ref="E15:G17"/>
    <mergeCell ref="H15:I17"/>
    <mergeCell ref="J15:L17"/>
    <mergeCell ref="B20:L20"/>
    <mergeCell ref="J22:L22"/>
    <mergeCell ref="B23:L23"/>
    <mergeCell ref="J24:L24"/>
    <mergeCell ref="B25:L25"/>
    <mergeCell ref="J26:L26"/>
    <mergeCell ref="B27:L27"/>
    <mergeCell ref="B28:L28"/>
    <mergeCell ref="B30:L32"/>
    <mergeCell ref="B34:L34"/>
    <mergeCell ref="B36:L38"/>
    <mergeCell ref="B40:L40"/>
  </mergeCells>
  <printOptions headings="false" gridLines="false" gridLinesSet="true" horizontalCentered="true" verticalCentered="false"/>
  <pageMargins left="0.4" right="0.4" top="0.4" bottom="0.4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0"/>
    <col collapsed="false" customWidth="true" hidden="false" outlineLevel="0" max="3" min="3" style="0" width="14"/>
    <col collapsed="false" customWidth="true" hidden="false" outlineLevel="0" max="5" min="4" style="0" width="40"/>
    <col collapsed="false" customWidth="true" hidden="false" outlineLevel="0" max="6" min="6" style="0" width="12"/>
    <col collapsed="false" customWidth="true" hidden="false" outlineLevel="0" max="7" min="7" style="0" width="14"/>
    <col collapsed="false" customWidth="true" hidden="false" outlineLevel="0" max="8" min="8" style="0" width="2"/>
  </cols>
  <sheetData>
    <row r="1" customFormat="false" ht="9.7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36" hidden="false" customHeight="true" outlineLevel="0" collapsed="false">
      <c r="A2" s="2" t="s">
        <v>177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Format="false" ht="21.75" hidden="false" customHeight="true" outlineLevel="0" collapsed="false">
      <c r="A3" s="3" t="s">
        <v>178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5" customFormat="false" ht="21.75" hidden="false" customHeight="true" outlineLevel="0" collapsed="false">
      <c r="B5" s="6" t="s">
        <v>179</v>
      </c>
      <c r="C5" s="6"/>
      <c r="D5" s="6"/>
      <c r="E5" s="6"/>
      <c r="F5" s="6"/>
      <c r="G5" s="6"/>
    </row>
    <row r="7" customFormat="false" ht="24" hidden="false" customHeight="true" outlineLevel="0" collapsed="false">
      <c r="B7" s="53" t="s">
        <v>180</v>
      </c>
      <c r="C7" s="53" t="s">
        <v>181</v>
      </c>
      <c r="D7" s="53" t="s">
        <v>182</v>
      </c>
      <c r="E7" s="53" t="s">
        <v>183</v>
      </c>
      <c r="F7" s="53" t="s">
        <v>184</v>
      </c>
      <c r="G7" s="53" t="s">
        <v>185</v>
      </c>
    </row>
    <row r="8" customFormat="false" ht="60" hidden="false" customHeight="true" outlineLevel="0" collapsed="false">
      <c r="B8" s="74" t="s">
        <v>186</v>
      </c>
      <c r="C8" s="75" t="s">
        <v>187</v>
      </c>
      <c r="D8" s="76" t="s">
        <v>188</v>
      </c>
      <c r="E8" s="77" t="s">
        <v>189</v>
      </c>
      <c r="F8" s="78" t="s">
        <v>190</v>
      </c>
      <c r="G8" s="79" t="s">
        <v>191</v>
      </c>
    </row>
    <row r="9" customFormat="false" ht="60" hidden="false" customHeight="true" outlineLevel="0" collapsed="false">
      <c r="B9" s="33" t="s">
        <v>192</v>
      </c>
      <c r="C9" s="80" t="s">
        <v>193</v>
      </c>
      <c r="D9" s="81" t="s">
        <v>194</v>
      </c>
      <c r="E9" s="82" t="s">
        <v>195</v>
      </c>
      <c r="F9" s="83" t="s">
        <v>196</v>
      </c>
      <c r="G9" s="84" t="s">
        <v>191</v>
      </c>
    </row>
    <row r="10" customFormat="false" ht="60" hidden="false" customHeight="true" outlineLevel="0" collapsed="false">
      <c r="B10" s="74" t="s">
        <v>197</v>
      </c>
      <c r="C10" s="75" t="s">
        <v>198</v>
      </c>
      <c r="D10" s="76" t="s">
        <v>199</v>
      </c>
      <c r="E10" s="77" t="s">
        <v>200</v>
      </c>
      <c r="F10" s="78" t="s">
        <v>201</v>
      </c>
      <c r="G10" s="85" t="s">
        <v>202</v>
      </c>
    </row>
    <row r="11" customFormat="false" ht="60" hidden="false" customHeight="true" outlineLevel="0" collapsed="false">
      <c r="B11" s="33" t="s">
        <v>203</v>
      </c>
      <c r="C11" s="80" t="s">
        <v>154</v>
      </c>
      <c r="D11" s="81" t="s">
        <v>204</v>
      </c>
      <c r="E11" s="82" t="s">
        <v>205</v>
      </c>
      <c r="F11" s="83" t="s">
        <v>206</v>
      </c>
      <c r="G11" s="84" t="s">
        <v>191</v>
      </c>
    </row>
    <row r="12" customFormat="false" ht="60" hidden="false" customHeight="true" outlineLevel="0" collapsed="false">
      <c r="B12" s="74" t="s">
        <v>207</v>
      </c>
      <c r="C12" s="75" t="s">
        <v>208</v>
      </c>
      <c r="D12" s="76" t="s">
        <v>209</v>
      </c>
      <c r="E12" s="77" t="s">
        <v>210</v>
      </c>
      <c r="F12" s="78" t="s">
        <v>211</v>
      </c>
      <c r="G12" s="79" t="s">
        <v>191</v>
      </c>
    </row>
    <row r="13" customFormat="false" ht="60" hidden="false" customHeight="true" outlineLevel="0" collapsed="false">
      <c r="B13" s="33" t="s">
        <v>212</v>
      </c>
      <c r="C13" s="80" t="s">
        <v>213</v>
      </c>
      <c r="D13" s="81" t="s">
        <v>214</v>
      </c>
      <c r="E13" s="82" t="s">
        <v>215</v>
      </c>
      <c r="F13" s="83" t="s">
        <v>216</v>
      </c>
      <c r="G13" s="84" t="s">
        <v>191</v>
      </c>
    </row>
    <row r="14" customFormat="false" ht="60" hidden="false" customHeight="true" outlineLevel="0" collapsed="false">
      <c r="B14" s="74" t="s">
        <v>217</v>
      </c>
      <c r="C14" s="75" t="s">
        <v>218</v>
      </c>
      <c r="D14" s="76" t="s">
        <v>219</v>
      </c>
      <c r="E14" s="77" t="s">
        <v>220</v>
      </c>
      <c r="F14" s="78" t="s">
        <v>221</v>
      </c>
      <c r="G14" s="79" t="s">
        <v>191</v>
      </c>
    </row>
    <row r="15" customFormat="false" ht="60" hidden="false" customHeight="true" outlineLevel="0" collapsed="false">
      <c r="B15" s="33" t="s">
        <v>222</v>
      </c>
      <c r="C15" s="80" t="s">
        <v>223</v>
      </c>
      <c r="D15" s="81" t="s">
        <v>224</v>
      </c>
      <c r="E15" s="82" t="s">
        <v>225</v>
      </c>
      <c r="F15" s="83" t="s">
        <v>221</v>
      </c>
      <c r="G15" s="84" t="s">
        <v>191</v>
      </c>
    </row>
    <row r="16" customFormat="false" ht="60" hidden="false" customHeight="true" outlineLevel="0" collapsed="false">
      <c r="B16" s="74" t="s">
        <v>226</v>
      </c>
      <c r="C16" s="75" t="s">
        <v>227</v>
      </c>
      <c r="D16" s="76" t="s">
        <v>228</v>
      </c>
      <c r="E16" s="77" t="s">
        <v>229</v>
      </c>
      <c r="F16" s="78" t="s">
        <v>230</v>
      </c>
      <c r="G16" s="79" t="s">
        <v>191</v>
      </c>
    </row>
    <row r="17" customFormat="false" ht="60" hidden="false" customHeight="true" outlineLevel="0" collapsed="false">
      <c r="B17" s="33" t="s">
        <v>231</v>
      </c>
      <c r="C17" s="80" t="s">
        <v>232</v>
      </c>
      <c r="D17" s="81" t="s">
        <v>233</v>
      </c>
      <c r="E17" s="82" t="s">
        <v>234</v>
      </c>
      <c r="F17" s="83" t="s">
        <v>235</v>
      </c>
      <c r="G17" s="84" t="s">
        <v>191</v>
      </c>
    </row>
    <row r="18" customFormat="false" ht="60" hidden="false" customHeight="true" outlineLevel="0" collapsed="false">
      <c r="B18" s="74" t="s">
        <v>236</v>
      </c>
      <c r="C18" s="75" t="s">
        <v>237</v>
      </c>
      <c r="D18" s="76" t="s">
        <v>238</v>
      </c>
      <c r="E18" s="77" t="s">
        <v>239</v>
      </c>
      <c r="F18" s="78" t="s">
        <v>240</v>
      </c>
      <c r="G18" s="79" t="s">
        <v>191</v>
      </c>
    </row>
    <row r="19" customFormat="false" ht="60" hidden="false" customHeight="true" outlineLevel="0" collapsed="false">
      <c r="B19" s="33" t="s">
        <v>241</v>
      </c>
      <c r="C19" s="80" t="s">
        <v>242</v>
      </c>
      <c r="D19" s="81" t="s">
        <v>243</v>
      </c>
      <c r="E19" s="82" t="s">
        <v>244</v>
      </c>
      <c r="F19" s="83" t="s">
        <v>245</v>
      </c>
      <c r="G19" s="84" t="s">
        <v>191</v>
      </c>
    </row>
    <row r="20" customFormat="false" ht="60" hidden="false" customHeight="true" outlineLevel="0" collapsed="false">
      <c r="B20" s="74" t="s">
        <v>246</v>
      </c>
      <c r="C20" s="75" t="s">
        <v>247</v>
      </c>
      <c r="D20" s="76" t="s">
        <v>248</v>
      </c>
      <c r="E20" s="77" t="s">
        <v>249</v>
      </c>
      <c r="F20" s="78" t="s">
        <v>250</v>
      </c>
      <c r="G20" s="85" t="s">
        <v>251</v>
      </c>
    </row>
    <row r="21" customFormat="false" ht="60" hidden="false" customHeight="true" outlineLevel="0" collapsed="false">
      <c r="B21" s="33" t="s">
        <v>252</v>
      </c>
      <c r="C21" s="80" t="s">
        <v>253</v>
      </c>
      <c r="D21" s="81" t="s">
        <v>254</v>
      </c>
      <c r="E21" s="82" t="s">
        <v>255</v>
      </c>
      <c r="F21" s="83" t="s">
        <v>250</v>
      </c>
      <c r="G21" s="86" t="s">
        <v>251</v>
      </c>
    </row>
    <row r="22" customFormat="false" ht="60" hidden="false" customHeight="true" outlineLevel="0" collapsed="false">
      <c r="B22" s="74" t="s">
        <v>256</v>
      </c>
      <c r="C22" s="75" t="s">
        <v>257</v>
      </c>
      <c r="D22" s="76" t="s">
        <v>258</v>
      </c>
      <c r="E22" s="77" t="s">
        <v>259</v>
      </c>
      <c r="F22" s="78" t="s">
        <v>260</v>
      </c>
      <c r="G22" s="79" t="s">
        <v>191</v>
      </c>
    </row>
    <row r="23" customFormat="false" ht="60" hidden="false" customHeight="true" outlineLevel="0" collapsed="false">
      <c r="B23" s="33" t="s">
        <v>261</v>
      </c>
      <c r="C23" s="80" t="s">
        <v>262</v>
      </c>
      <c r="D23" s="81" t="s">
        <v>263</v>
      </c>
      <c r="E23" s="82" t="s">
        <v>264</v>
      </c>
      <c r="F23" s="83" t="s">
        <v>260</v>
      </c>
      <c r="G23" s="84" t="s">
        <v>191</v>
      </c>
    </row>
    <row r="24" customFormat="false" ht="60" hidden="false" customHeight="true" outlineLevel="0" collapsed="false">
      <c r="B24" s="74" t="s">
        <v>265</v>
      </c>
      <c r="C24" s="75" t="s">
        <v>266</v>
      </c>
      <c r="D24" s="76" t="s">
        <v>267</v>
      </c>
      <c r="E24" s="77" t="s">
        <v>268</v>
      </c>
      <c r="F24" s="78" t="s">
        <v>260</v>
      </c>
      <c r="G24" s="79" t="s">
        <v>191</v>
      </c>
    </row>
    <row r="25" customFormat="false" ht="60" hidden="false" customHeight="true" outlineLevel="0" collapsed="false">
      <c r="B25" s="33" t="s">
        <v>269</v>
      </c>
      <c r="C25" s="80" t="s">
        <v>270</v>
      </c>
      <c r="D25" s="81" t="s">
        <v>271</v>
      </c>
      <c r="E25" s="82" t="s">
        <v>272</v>
      </c>
      <c r="F25" s="83" t="s">
        <v>273</v>
      </c>
      <c r="G25" s="84" t="s">
        <v>191</v>
      </c>
    </row>
    <row r="26" customFormat="false" ht="60" hidden="false" customHeight="true" outlineLevel="0" collapsed="false">
      <c r="B26" s="74" t="s">
        <v>274</v>
      </c>
      <c r="C26" s="75" t="s">
        <v>275</v>
      </c>
      <c r="D26" s="76" t="s">
        <v>276</v>
      </c>
      <c r="E26" s="77" t="s">
        <v>277</v>
      </c>
      <c r="F26" s="78" t="s">
        <v>260</v>
      </c>
      <c r="G26" s="79" t="s">
        <v>191</v>
      </c>
    </row>
    <row r="27" customFormat="false" ht="60" hidden="false" customHeight="true" outlineLevel="0" collapsed="false">
      <c r="B27" s="33" t="s">
        <v>278</v>
      </c>
      <c r="C27" s="80" t="s">
        <v>279</v>
      </c>
      <c r="D27" s="81" t="s">
        <v>280</v>
      </c>
      <c r="E27" s="82" t="s">
        <v>281</v>
      </c>
      <c r="F27" s="83" t="s">
        <v>260</v>
      </c>
      <c r="G27" s="84" t="s">
        <v>191</v>
      </c>
    </row>
    <row r="28" customFormat="false" ht="60" hidden="false" customHeight="true" outlineLevel="0" collapsed="false">
      <c r="B28" s="74" t="s">
        <v>282</v>
      </c>
      <c r="C28" s="75" t="s">
        <v>283</v>
      </c>
      <c r="D28" s="76" t="s">
        <v>284</v>
      </c>
      <c r="E28" s="77" t="s">
        <v>285</v>
      </c>
      <c r="F28" s="78" t="s">
        <v>286</v>
      </c>
      <c r="G28" s="85" t="s">
        <v>287</v>
      </c>
    </row>
    <row r="29" customFormat="false" ht="60" hidden="false" customHeight="true" outlineLevel="0" collapsed="false">
      <c r="B29" s="33" t="s">
        <v>288</v>
      </c>
      <c r="C29" s="80" t="s">
        <v>289</v>
      </c>
      <c r="D29" s="81" t="s">
        <v>290</v>
      </c>
      <c r="E29" s="82" t="s">
        <v>291</v>
      </c>
      <c r="F29" s="83" t="s">
        <v>286</v>
      </c>
      <c r="G29" s="86" t="s">
        <v>287</v>
      </c>
    </row>
    <row r="30" customFormat="false" ht="60" hidden="false" customHeight="true" outlineLevel="0" collapsed="false">
      <c r="B30" s="74" t="s">
        <v>292</v>
      </c>
      <c r="C30" s="75" t="s">
        <v>293</v>
      </c>
      <c r="D30" s="76" t="s">
        <v>294</v>
      </c>
      <c r="E30" s="77" t="s">
        <v>295</v>
      </c>
      <c r="F30" s="78" t="s">
        <v>286</v>
      </c>
      <c r="G30" s="85" t="s">
        <v>287</v>
      </c>
    </row>
    <row r="31" customFormat="false" ht="60" hidden="false" customHeight="true" outlineLevel="0" collapsed="false">
      <c r="B31" s="33" t="s">
        <v>296</v>
      </c>
      <c r="C31" s="80" t="s">
        <v>297</v>
      </c>
      <c r="D31" s="81" t="s">
        <v>294</v>
      </c>
      <c r="E31" s="82" t="s">
        <v>298</v>
      </c>
      <c r="F31" s="83" t="s">
        <v>286</v>
      </c>
      <c r="G31" s="86" t="s">
        <v>287</v>
      </c>
    </row>
    <row r="32" customFormat="false" ht="60" hidden="false" customHeight="true" outlineLevel="0" collapsed="false">
      <c r="B32" s="74" t="s">
        <v>122</v>
      </c>
      <c r="C32" s="75" t="s">
        <v>289</v>
      </c>
      <c r="D32" s="76" t="s">
        <v>294</v>
      </c>
      <c r="E32" s="77" t="s">
        <v>299</v>
      </c>
      <c r="F32" s="78" t="s">
        <v>286</v>
      </c>
      <c r="G32" s="85" t="s">
        <v>287</v>
      </c>
    </row>
    <row r="33" customFormat="false" ht="60" hidden="false" customHeight="true" outlineLevel="0" collapsed="false">
      <c r="B33" s="33" t="s">
        <v>300</v>
      </c>
      <c r="C33" s="80" t="s">
        <v>301</v>
      </c>
      <c r="D33" s="81" t="s">
        <v>294</v>
      </c>
      <c r="E33" s="82" t="s">
        <v>302</v>
      </c>
      <c r="F33" s="83" t="s">
        <v>286</v>
      </c>
      <c r="G33" s="86" t="s">
        <v>287</v>
      </c>
    </row>
    <row r="36" customFormat="false" ht="21.75" hidden="false" customHeight="true" outlineLevel="0" collapsed="false">
      <c r="B36" s="6" t="s">
        <v>303</v>
      </c>
      <c r="C36" s="6"/>
      <c r="D36" s="6"/>
      <c r="E36" s="6"/>
      <c r="F36" s="6"/>
      <c r="G36" s="6"/>
    </row>
    <row r="38" customFormat="false" ht="24" hidden="false" customHeight="true" outlineLevel="0" collapsed="false">
      <c r="B38" s="22" t="s">
        <v>304</v>
      </c>
      <c r="C38" s="22"/>
      <c r="D38" s="22"/>
      <c r="E38" s="22"/>
      <c r="F38" s="22"/>
      <c r="G38" s="22"/>
    </row>
    <row r="39" customFormat="false" ht="24" hidden="false" customHeight="true" outlineLevel="0" collapsed="false">
      <c r="B39" s="22" t="s">
        <v>305</v>
      </c>
      <c r="C39" s="22"/>
      <c r="D39" s="22"/>
      <c r="E39" s="22"/>
      <c r="F39" s="22"/>
      <c r="G39" s="22"/>
    </row>
    <row r="40" customFormat="false" ht="24" hidden="false" customHeight="true" outlineLevel="0" collapsed="false">
      <c r="B40" s="22" t="s">
        <v>306</v>
      </c>
      <c r="C40" s="22"/>
      <c r="D40" s="22"/>
      <c r="E40" s="22"/>
      <c r="F40" s="22"/>
      <c r="G40" s="22"/>
    </row>
    <row r="41" customFormat="false" ht="24" hidden="false" customHeight="true" outlineLevel="0" collapsed="false">
      <c r="B41" s="22" t="s">
        <v>307</v>
      </c>
      <c r="C41" s="22"/>
      <c r="D41" s="22"/>
      <c r="E41" s="22"/>
      <c r="F41" s="22"/>
      <c r="G41" s="22"/>
    </row>
    <row r="42" customFormat="false" ht="24" hidden="false" customHeight="true" outlineLevel="0" collapsed="false">
      <c r="B42" s="22" t="s">
        <v>308</v>
      </c>
      <c r="C42" s="22"/>
      <c r="D42" s="22"/>
      <c r="E42" s="22"/>
      <c r="F42" s="22"/>
      <c r="G42" s="22"/>
    </row>
    <row r="43" customFormat="false" ht="24" hidden="false" customHeight="true" outlineLevel="0" collapsed="false">
      <c r="B43" s="22" t="s">
        <v>309</v>
      </c>
      <c r="C43" s="22"/>
      <c r="D43" s="22"/>
      <c r="E43" s="22"/>
      <c r="F43" s="22"/>
      <c r="G43" s="22"/>
    </row>
  </sheetData>
  <mergeCells count="11">
    <mergeCell ref="A1:L1"/>
    <mergeCell ref="A2:L2"/>
    <mergeCell ref="A3:L3"/>
    <mergeCell ref="B5:G5"/>
    <mergeCell ref="B36:G36"/>
    <mergeCell ref="B38:G38"/>
    <mergeCell ref="B39:G39"/>
    <mergeCell ref="B40:G40"/>
    <mergeCell ref="B41:G41"/>
    <mergeCell ref="B42:G42"/>
    <mergeCell ref="B43:G43"/>
  </mergeCells>
  <printOptions headings="false" gridLines="false" gridLinesSet="true" horizontalCentered="true" verticalCentered="false"/>
  <pageMargins left="0.4" right="0.4" top="0.4" bottom="0.4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0"/>
    <col collapsed="false" customWidth="true" hidden="false" outlineLevel="0" max="4" min="3" style="0" width="40"/>
    <col collapsed="false" customWidth="true" hidden="false" outlineLevel="0" max="5" min="5" style="0" width="2"/>
  </cols>
  <sheetData>
    <row r="1" customFormat="false" ht="9.7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36" hidden="false" customHeight="true" outlineLevel="0" collapsed="false">
      <c r="A2" s="2" t="s">
        <v>310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Format="false" ht="21.75" hidden="false" customHeight="true" outlineLevel="0" collapsed="false">
      <c r="A3" s="3" t="s">
        <v>311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5" customFormat="false" ht="21.75" hidden="false" customHeight="true" outlineLevel="0" collapsed="false">
      <c r="B5" s="6" t="s">
        <v>312</v>
      </c>
      <c r="C5" s="6"/>
      <c r="D5" s="6"/>
    </row>
    <row r="7" customFormat="false" ht="24" hidden="false" customHeight="true" outlineLevel="0" collapsed="false">
      <c r="B7" s="87" t="s">
        <v>313</v>
      </c>
      <c r="C7" s="28" t="s">
        <v>314</v>
      </c>
      <c r="D7" s="28"/>
    </row>
    <row r="8" customFormat="false" ht="24" hidden="false" customHeight="true" outlineLevel="0" collapsed="false">
      <c r="B8" s="87" t="s">
        <v>315</v>
      </c>
      <c r="C8" s="28" t="s">
        <v>316</v>
      </c>
      <c r="D8" s="28"/>
    </row>
    <row r="9" customFormat="false" ht="24" hidden="false" customHeight="true" outlineLevel="0" collapsed="false">
      <c r="B9" s="87" t="s">
        <v>317</v>
      </c>
      <c r="C9" s="28" t="s">
        <v>318</v>
      </c>
      <c r="D9" s="28"/>
    </row>
    <row r="10" customFormat="false" ht="24" hidden="false" customHeight="true" outlineLevel="0" collapsed="false">
      <c r="B10" s="87" t="s">
        <v>319</v>
      </c>
      <c r="C10" s="28" t="s">
        <v>320</v>
      </c>
      <c r="D10" s="28"/>
    </row>
    <row r="11" customFormat="false" ht="24" hidden="false" customHeight="true" outlineLevel="0" collapsed="false">
      <c r="B11" s="87" t="s">
        <v>321</v>
      </c>
      <c r="C11" s="28" t="s">
        <v>322</v>
      </c>
      <c r="D11" s="28"/>
    </row>
    <row r="12" customFormat="false" ht="24" hidden="false" customHeight="true" outlineLevel="0" collapsed="false">
      <c r="B12" s="87" t="s">
        <v>323</v>
      </c>
      <c r="C12" s="28" t="s">
        <v>324</v>
      </c>
      <c r="D12" s="28"/>
    </row>
    <row r="14" customFormat="false" ht="15" hidden="false" customHeight="true" outlineLevel="0" collapsed="false">
      <c r="B14" s="25" t="s">
        <v>325</v>
      </c>
      <c r="C14" s="25"/>
      <c r="D14" s="25"/>
    </row>
    <row r="16" customFormat="false" ht="21.75" hidden="false" customHeight="true" outlineLevel="0" collapsed="false">
      <c r="B16" s="6" t="s">
        <v>326</v>
      </c>
      <c r="C16" s="6"/>
      <c r="D16" s="6"/>
    </row>
    <row r="18" customFormat="false" ht="15" hidden="false" customHeight="false" outlineLevel="0" collapsed="false">
      <c r="B18" s="88" t="s">
        <v>327</v>
      </c>
      <c r="C18" s="88" t="s">
        <v>328</v>
      </c>
      <c r="D18" s="88" t="s">
        <v>329</v>
      </c>
    </row>
    <row r="19" customFormat="false" ht="60" hidden="false" customHeight="true" outlineLevel="0" collapsed="false">
      <c r="B19" s="89" t="s">
        <v>330</v>
      </c>
      <c r="C19" s="90" t="s">
        <v>331</v>
      </c>
      <c r="D19" s="90" t="s">
        <v>332</v>
      </c>
    </row>
    <row r="20" customFormat="false" ht="60" hidden="false" customHeight="true" outlineLevel="0" collapsed="false">
      <c r="B20" s="91" t="s">
        <v>333</v>
      </c>
      <c r="C20" s="92" t="s">
        <v>334</v>
      </c>
      <c r="D20" s="92" t="s">
        <v>335</v>
      </c>
    </row>
    <row r="21" customFormat="false" ht="60" hidden="false" customHeight="true" outlineLevel="0" collapsed="false">
      <c r="B21" s="89" t="s">
        <v>336</v>
      </c>
      <c r="C21" s="90" t="s">
        <v>337</v>
      </c>
      <c r="D21" s="90" t="s">
        <v>338</v>
      </c>
    </row>
    <row r="22" customFormat="false" ht="60" hidden="false" customHeight="true" outlineLevel="0" collapsed="false">
      <c r="B22" s="91" t="s">
        <v>339</v>
      </c>
      <c r="C22" s="92" t="s">
        <v>340</v>
      </c>
      <c r="D22" s="92" t="s">
        <v>341</v>
      </c>
    </row>
    <row r="23" customFormat="false" ht="60" hidden="false" customHeight="true" outlineLevel="0" collapsed="false">
      <c r="B23" s="89" t="s">
        <v>342</v>
      </c>
      <c r="C23" s="90" t="s">
        <v>343</v>
      </c>
      <c r="D23" s="90" t="s">
        <v>344</v>
      </c>
    </row>
    <row r="26" customFormat="false" ht="21.75" hidden="false" customHeight="true" outlineLevel="0" collapsed="false">
      <c r="B26" s="6" t="s">
        <v>345</v>
      </c>
      <c r="C26" s="6"/>
      <c r="D26" s="6"/>
    </row>
    <row r="28" customFormat="false" ht="15" hidden="false" customHeight="false" outlineLevel="0" collapsed="false">
      <c r="B28" s="88" t="s">
        <v>346</v>
      </c>
      <c r="C28" s="88" t="s">
        <v>347</v>
      </c>
      <c r="D28" s="88" t="s">
        <v>348</v>
      </c>
    </row>
    <row r="29" customFormat="false" ht="64.5" hidden="false" customHeight="true" outlineLevel="0" collapsed="false">
      <c r="B29" s="89" t="s">
        <v>349</v>
      </c>
      <c r="C29" s="90" t="s">
        <v>350</v>
      </c>
      <c r="D29" s="90" t="s">
        <v>351</v>
      </c>
    </row>
    <row r="30" customFormat="false" ht="64.5" hidden="false" customHeight="true" outlineLevel="0" collapsed="false">
      <c r="B30" s="91" t="s">
        <v>352</v>
      </c>
      <c r="C30" s="92" t="s">
        <v>353</v>
      </c>
      <c r="D30" s="92" t="s">
        <v>354</v>
      </c>
    </row>
    <row r="31" customFormat="false" ht="64.5" hidden="false" customHeight="true" outlineLevel="0" collapsed="false">
      <c r="B31" s="89" t="s">
        <v>355</v>
      </c>
      <c r="C31" s="90" t="s">
        <v>356</v>
      </c>
      <c r="D31" s="90" t="s">
        <v>357</v>
      </c>
    </row>
    <row r="32" customFormat="false" ht="64.5" hidden="false" customHeight="true" outlineLevel="0" collapsed="false">
      <c r="B32" s="91" t="s">
        <v>358</v>
      </c>
      <c r="C32" s="92" t="s">
        <v>359</v>
      </c>
      <c r="D32" s="92" t="s">
        <v>360</v>
      </c>
    </row>
    <row r="33" customFormat="false" ht="64.5" hidden="false" customHeight="true" outlineLevel="0" collapsed="false">
      <c r="B33" s="89" t="s">
        <v>361</v>
      </c>
      <c r="C33" s="90" t="s">
        <v>362</v>
      </c>
      <c r="D33" s="90" t="s">
        <v>363</v>
      </c>
    </row>
  </sheetData>
  <mergeCells count="13">
    <mergeCell ref="A1:L1"/>
    <mergeCell ref="A2:L2"/>
    <mergeCell ref="A3:L3"/>
    <mergeCell ref="B5:D5"/>
    <mergeCell ref="C7:D7"/>
    <mergeCell ref="C8:D8"/>
    <mergeCell ref="C9:D9"/>
    <mergeCell ref="C10:D10"/>
    <mergeCell ref="C11:D11"/>
    <mergeCell ref="C12:D12"/>
    <mergeCell ref="B14:D14"/>
    <mergeCell ref="B16:D16"/>
    <mergeCell ref="B26:D26"/>
  </mergeCells>
  <printOptions headings="false" gridLines="false" gridLinesSet="true" horizontalCentered="true" verticalCentered="false"/>
  <pageMargins left="0.4" right="0.4" top="0.4" bottom="0.4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LibreOffice/26.2.2.2$MacOSX_AARCH64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2026-04-22T14:51:37Z</dcterms:created>
  <dc:creator>openpyxl</dc:creator>
  <dc:description/>
  <dc:language>en-US</dc:language>
  <cp:lastModifiedBy/>
  <dcterms:modified xsi:type="dcterms:W3CDTF">2026-04-22T14:51:37Z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